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ección de Administración y Finanzas\Administracion y Finanzas\5.REPORTERÍA AYF\2026\3) IGM 2026\"/>
    </mc:Choice>
  </mc:AlternateContent>
  <xr:revisionPtr revIDLastSave="0" documentId="13_ncr:1_{F34C2231-A397-4E71-8FDE-6949012AF032}" xr6:coauthVersionLast="47" xr6:coauthVersionMax="47" xr10:uidLastSave="{00000000-0000-0000-0000-000000000000}"/>
  <bookViews>
    <workbookView xWindow="28680" yWindow="-120" windowWidth="29040" windowHeight="15720" tabRatio="788" activeTab="1" xr2:uid="{476687BC-5FFF-41EF-AF5F-2DDB8C215B3E}"/>
  </bookViews>
  <sheets>
    <sheet name="Reporte" sheetId="6" r:id="rId1"/>
    <sheet name="PPTO HISTORICO" sheetId="17" r:id="rId2"/>
    <sheet name="OC Acumulado" sheetId="11" r:id="rId3"/>
    <sheet name="Compras Septiembre" sheetId="40" r:id="rId4"/>
    <sheet name="Compras Agosto" sheetId="39" r:id="rId5"/>
    <sheet name="Compras Julio" sheetId="38" r:id="rId6"/>
    <sheet name="Compras Junio" sheetId="37" r:id="rId7"/>
    <sheet name="Compras Mayo" sheetId="36" r:id="rId8"/>
    <sheet name="Compras Abril" sheetId="35" r:id="rId9"/>
    <sheet name="Compras Marzo" sheetId="33" r:id="rId10"/>
    <sheet name="Compras Febrero" sheetId="32" r:id="rId11"/>
    <sheet name="Compras Enero" sheetId="31" r:id="rId12"/>
  </sheets>
  <definedNames>
    <definedName name="_xlnm._FilterDatabase" localSheetId="11" hidden="1">'Compras Enero'!$B$2:$S$7</definedName>
    <definedName name="_xlnm._FilterDatabase" localSheetId="2" hidden="1">'OC Acumulado'!$A$2:$V$44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7" i="6" l="1"/>
  <c r="O43" i="6"/>
  <c r="K31" i="6"/>
  <c r="K32" i="6" s="1"/>
  <c r="K25" i="6"/>
  <c r="K24" i="6"/>
  <c r="K23" i="6"/>
  <c r="K22" i="6"/>
  <c r="K21" i="6"/>
  <c r="K16" i="6"/>
  <c r="K15" i="6"/>
  <c r="K14" i="6"/>
  <c r="K13" i="6"/>
  <c r="K12" i="6"/>
  <c r="K7" i="6"/>
  <c r="K27" i="6"/>
  <c r="S65" i="11"/>
  <c r="D65" i="11"/>
  <c r="D67" i="11" s="1"/>
  <c r="S64" i="11"/>
  <c r="S63" i="11"/>
  <c r="S62" i="11"/>
  <c r="U67" i="11" s="1"/>
  <c r="S61" i="11"/>
  <c r="S6" i="40"/>
  <c r="D6" i="40"/>
  <c r="S5" i="40"/>
  <c r="S4" i="40"/>
  <c r="S3" i="40"/>
  <c r="S2" i="40"/>
  <c r="J31" i="6"/>
  <c r="J32" i="6" s="1"/>
  <c r="J25" i="6"/>
  <c r="J24" i="6"/>
  <c r="J23" i="6"/>
  <c r="J22" i="6"/>
  <c r="J21" i="6"/>
  <c r="J27" i="6"/>
  <c r="J16" i="6"/>
  <c r="J15" i="6"/>
  <c r="J14" i="6"/>
  <c r="J13" i="6"/>
  <c r="J12" i="6"/>
  <c r="J7" i="6"/>
  <c r="T67" i="11"/>
  <c r="D60" i="11"/>
  <c r="S59" i="11"/>
  <c r="S58" i="11"/>
  <c r="S57" i="11"/>
  <c r="S56" i="11"/>
  <c r="S55" i="11"/>
  <c r="S54" i="11"/>
  <c r="S53" i="11"/>
  <c r="S52" i="11"/>
  <c r="S51" i="11"/>
  <c r="S50" i="11"/>
  <c r="S6" i="39"/>
  <c r="U68" i="11" l="1"/>
  <c r="S67" i="11"/>
  <c r="S60" i="11"/>
  <c r="S7" i="39"/>
  <c r="S8" i="39"/>
  <c r="S9" i="39"/>
  <c r="S10" i="39"/>
  <c r="S5" i="39"/>
  <c r="S4" i="39"/>
  <c r="S3" i="39"/>
  <c r="D12" i="39"/>
  <c r="S11" i="39"/>
  <c r="S2" i="39"/>
  <c r="I49" i="6"/>
  <c r="I32" i="6"/>
  <c r="I31" i="6"/>
  <c r="I25" i="6"/>
  <c r="I23" i="6"/>
  <c r="I21" i="6"/>
  <c r="I16" i="6"/>
  <c r="I15" i="6"/>
  <c r="I14" i="6"/>
  <c r="I13" i="6"/>
  <c r="I12" i="6"/>
  <c r="G8" i="6"/>
  <c r="H8" i="6"/>
  <c r="I7" i="6"/>
  <c r="D49" i="11"/>
  <c r="S48" i="11"/>
  <c r="S47" i="11"/>
  <c r="S46" i="11"/>
  <c r="S45" i="11"/>
  <c r="D6" i="38"/>
  <c r="S5" i="38"/>
  <c r="S4" i="38"/>
  <c r="S3" i="38"/>
  <c r="I24" i="6" s="1"/>
  <c r="S2" i="38"/>
  <c r="S6" i="38" s="1"/>
  <c r="I27" i="6" s="1"/>
  <c r="H31" i="6"/>
  <c r="H32" i="6" s="1"/>
  <c r="H7" i="6"/>
  <c r="G17" i="6"/>
  <c r="E8" i="6"/>
  <c r="D8" i="6"/>
  <c r="C8" i="6"/>
  <c r="S49" i="11" l="1"/>
  <c r="S12" i="39"/>
  <c r="I22" i="6"/>
  <c r="S43" i="11"/>
  <c r="S42" i="11"/>
  <c r="S41" i="11"/>
  <c r="S40" i="11"/>
  <c r="S39" i="11"/>
  <c r="S38" i="11"/>
  <c r="S37" i="11"/>
  <c r="S36" i="11"/>
  <c r="S35" i="11"/>
  <c r="S34" i="11"/>
  <c r="S3" i="37"/>
  <c r="S4" i="37"/>
  <c r="S5" i="37"/>
  <c r="S6" i="37"/>
  <c r="S7" i="37"/>
  <c r="S8" i="37"/>
  <c r="S9" i="37"/>
  <c r="S10" i="37"/>
  <c r="S11" i="37"/>
  <c r="H25" i="6"/>
  <c r="H24" i="6"/>
  <c r="H23" i="6"/>
  <c r="H22" i="6"/>
  <c r="H16" i="6"/>
  <c r="H15" i="6"/>
  <c r="H14" i="6"/>
  <c r="H13" i="6"/>
  <c r="H12" i="6"/>
  <c r="D44" i="11"/>
  <c r="H21" i="6"/>
  <c r="D12" i="37"/>
  <c r="S2" i="37"/>
  <c r="R8" i="17"/>
  <c r="R6" i="17"/>
  <c r="S44" i="11" l="1"/>
  <c r="S12" i="37"/>
  <c r="H27" i="6" s="1"/>
  <c r="S8" i="17"/>
  <c r="G31" i="6" l="1"/>
  <c r="S32" i="11"/>
  <c r="S31" i="11"/>
  <c r="S30" i="11"/>
  <c r="S29" i="11"/>
  <c r="G25" i="6"/>
  <c r="G24" i="6"/>
  <c r="G23" i="6"/>
  <c r="G22" i="6"/>
  <c r="G21" i="6"/>
  <c r="G16" i="6"/>
  <c r="G15" i="6"/>
  <c r="G14" i="6"/>
  <c r="G13" i="6"/>
  <c r="G12" i="6"/>
  <c r="D33" i="11"/>
  <c r="D6" i="36"/>
  <c r="S5" i="36"/>
  <c r="S4" i="36"/>
  <c r="S3" i="36"/>
  <c r="S2" i="36"/>
  <c r="F31" i="6"/>
  <c r="C47" i="6"/>
  <c r="E32" i="6" s="1"/>
  <c r="F25" i="6"/>
  <c r="F24" i="6"/>
  <c r="F23" i="6"/>
  <c r="F22" i="6"/>
  <c r="F21" i="6"/>
  <c r="F16" i="6"/>
  <c r="F15" i="6"/>
  <c r="F14" i="6"/>
  <c r="F13" i="6"/>
  <c r="F12" i="6"/>
  <c r="D28" i="11"/>
  <c r="S27" i="11"/>
  <c r="S26" i="11"/>
  <c r="S25" i="11"/>
  <c r="S24" i="11"/>
  <c r="S23" i="11"/>
  <c r="S22" i="11"/>
  <c r="S21" i="11"/>
  <c r="S20" i="11"/>
  <c r="S3" i="35"/>
  <c r="S4" i="35"/>
  <c r="S5" i="35"/>
  <c r="S6" i="35"/>
  <c r="S7" i="35"/>
  <c r="S8" i="35"/>
  <c r="S9" i="35"/>
  <c r="D10" i="35"/>
  <c r="S2" i="35"/>
  <c r="S10" i="35" s="1"/>
  <c r="F27" i="6" s="1"/>
  <c r="E31" i="6"/>
  <c r="E27" i="6"/>
  <c r="E25" i="6"/>
  <c r="E24" i="6"/>
  <c r="E23" i="6"/>
  <c r="E22" i="6"/>
  <c r="E21" i="6"/>
  <c r="E16" i="6"/>
  <c r="E15" i="6"/>
  <c r="E14" i="6"/>
  <c r="E13" i="6"/>
  <c r="E12" i="6"/>
  <c r="D19" i="11"/>
  <c r="S18" i="11"/>
  <c r="S17" i="11"/>
  <c r="S16" i="11"/>
  <c r="F32" i="6" l="1"/>
  <c r="G32" i="6"/>
  <c r="S6" i="36"/>
  <c r="G27" i="6" s="1"/>
  <c r="S33" i="11"/>
  <c r="S28" i="11"/>
  <c r="S19" i="11"/>
  <c r="S4" i="33"/>
  <c r="S3" i="33"/>
  <c r="D5" i="33"/>
  <c r="S2" i="33"/>
  <c r="D32" i="6"/>
  <c r="O31" i="6"/>
  <c r="O30" i="6"/>
  <c r="D31" i="6"/>
  <c r="S14" i="11"/>
  <c r="S13" i="11"/>
  <c r="S12" i="11"/>
  <c r="S11" i="11"/>
  <c r="S10" i="11"/>
  <c r="S9" i="11"/>
  <c r="S7" i="32"/>
  <c r="S6" i="32"/>
  <c r="S5" i="32"/>
  <c r="S4" i="32"/>
  <c r="S3" i="32"/>
  <c r="S2" i="32"/>
  <c r="S8" i="32" s="1"/>
  <c r="D25" i="6"/>
  <c r="D24" i="6"/>
  <c r="D23" i="6"/>
  <c r="D22" i="6"/>
  <c r="D21" i="6"/>
  <c r="D16" i="6"/>
  <c r="D15" i="6"/>
  <c r="D14" i="6"/>
  <c r="D13" i="6"/>
  <c r="D12" i="6"/>
  <c r="D15" i="11"/>
  <c r="D8" i="32"/>
  <c r="T5" i="17"/>
  <c r="C51" i="17"/>
  <c r="D51" i="17" s="1"/>
  <c r="E51" i="17" s="1"/>
  <c r="F51" i="17" s="1"/>
  <c r="G51" i="17" s="1"/>
  <c r="H51" i="17" s="1"/>
  <c r="I51" i="17" s="1"/>
  <c r="J51" i="17" s="1"/>
  <c r="K51" i="17" s="1"/>
  <c r="L51" i="17" s="1"/>
  <c r="M51" i="17" s="1"/>
  <c r="N51" i="17" s="1"/>
  <c r="S7" i="11"/>
  <c r="S6" i="11"/>
  <c r="S5" i="11"/>
  <c r="S4" i="11"/>
  <c r="S3" i="11"/>
  <c r="T8" i="17" l="1"/>
  <c r="C52" i="17" s="1"/>
  <c r="D27" i="6"/>
  <c r="S5" i="33"/>
  <c r="H52" i="17"/>
  <c r="J52" i="17"/>
  <c r="I52" i="17"/>
  <c r="G52" i="17"/>
  <c r="T9" i="17"/>
  <c r="T10" i="17" s="1"/>
  <c r="F52" i="17"/>
  <c r="M52" i="17"/>
  <c r="K52" i="17"/>
  <c r="S15" i="11"/>
  <c r="S7" i="31"/>
  <c r="S6" i="31"/>
  <c r="S5" i="31"/>
  <c r="S4" i="31"/>
  <c r="S3" i="31"/>
  <c r="S2" i="31"/>
  <c r="L52" i="17" l="1"/>
  <c r="E52" i="17"/>
  <c r="N52" i="17"/>
  <c r="D52" i="17"/>
  <c r="C46" i="17"/>
  <c r="D46" i="17" l="1"/>
  <c r="E46" i="17" l="1"/>
  <c r="F46" i="17" l="1"/>
  <c r="G46" i="17" l="1"/>
  <c r="H46" i="17" l="1"/>
  <c r="I46" i="17" l="1"/>
  <c r="J46" i="17" l="1"/>
  <c r="K46" i="17" l="1"/>
  <c r="L46" i="17" l="1"/>
  <c r="M46" i="17" l="1"/>
  <c r="N46" i="17" l="1"/>
  <c r="S9" i="17" s="1"/>
  <c r="C34" i="17"/>
  <c r="C7" i="6"/>
  <c r="S10" i="17" l="1"/>
  <c r="C47" i="17" l="1"/>
  <c r="D47" i="17"/>
  <c r="E47" i="17"/>
  <c r="F47" i="17"/>
  <c r="G47" i="17"/>
  <c r="H47" i="17"/>
  <c r="I47" i="17"/>
  <c r="J47" i="17"/>
  <c r="K47" i="17"/>
  <c r="L47" i="17"/>
  <c r="M47" i="17"/>
  <c r="N47" i="17"/>
  <c r="C31" i="6"/>
  <c r="M26" i="6" l="1"/>
  <c r="O5" i="6"/>
  <c r="O6" i="6"/>
  <c r="C27" i="6"/>
  <c r="J17" i="6"/>
  <c r="J8" i="6" s="1"/>
  <c r="E17" i="6"/>
  <c r="D8" i="11"/>
  <c r="D7" i="31"/>
  <c r="I17" i="6"/>
  <c r="I8" i="6" s="1"/>
  <c r="C12" i="6"/>
  <c r="D17" i="6"/>
  <c r="F17" i="6"/>
  <c r="F8" i="6" s="1"/>
  <c r="H17" i="6"/>
  <c r="C21" i="6"/>
  <c r="C22" i="6"/>
  <c r="C23" i="6"/>
  <c r="C24" i="6"/>
  <c r="C25" i="6"/>
  <c r="F26" i="6"/>
  <c r="N26" i="6"/>
  <c r="C13" i="6"/>
  <c r="C14" i="6"/>
  <c r="C15" i="6"/>
  <c r="C16" i="6"/>
  <c r="I45" i="6"/>
  <c r="D40" i="6"/>
  <c r="E40" i="6"/>
  <c r="F40" i="6"/>
  <c r="G40" i="6"/>
  <c r="H40" i="6"/>
  <c r="I40" i="6"/>
  <c r="J40" i="6"/>
  <c r="K40" i="6"/>
  <c r="L40" i="6"/>
  <c r="M40" i="6"/>
  <c r="N40" i="6"/>
  <c r="C40" i="6"/>
  <c r="G26" i="6"/>
  <c r="O38" i="6"/>
  <c r="O39" i="6"/>
  <c r="O37" i="6"/>
  <c r="O36" i="6"/>
  <c r="O35" i="6"/>
  <c r="C41" i="17"/>
  <c r="D41" i="17"/>
  <c r="D42" i="17" s="1"/>
  <c r="C42" i="17"/>
  <c r="Q6" i="17"/>
  <c r="Q8" i="17" s="1"/>
  <c r="C36" i="17" s="1"/>
  <c r="P8" i="17"/>
  <c r="C35" i="17"/>
  <c r="D35" i="17" s="1"/>
  <c r="N17" i="6"/>
  <c r="M17" i="6"/>
  <c r="C29" i="17"/>
  <c r="D29" i="17" s="1"/>
  <c r="D8" i="17"/>
  <c r="D10" i="17" s="1"/>
  <c r="E8" i="17"/>
  <c r="E10" i="17" s="1"/>
  <c r="F8" i="17"/>
  <c r="F10" i="17" s="1"/>
  <c r="G8" i="17"/>
  <c r="G10" i="17" s="1"/>
  <c r="H8" i="17"/>
  <c r="I8" i="17"/>
  <c r="J8" i="17"/>
  <c r="J10" i="17" s="1"/>
  <c r="K8" i="17"/>
  <c r="K10" i="17" s="1"/>
  <c r="L8" i="17"/>
  <c r="L10" i="17" s="1"/>
  <c r="M8" i="17"/>
  <c r="M10" i="17" s="1"/>
  <c r="N8" i="17"/>
  <c r="N10" i="17" s="1"/>
  <c r="C8" i="17"/>
  <c r="C10" i="17" s="1"/>
  <c r="C23" i="17"/>
  <c r="C16" i="17"/>
  <c r="O8" i="17"/>
  <c r="C24" i="17" s="1"/>
  <c r="D23" i="17"/>
  <c r="E23" i="17" s="1"/>
  <c r="F23" i="17" s="1"/>
  <c r="D16" i="17"/>
  <c r="E16" i="17" s="1"/>
  <c r="O10" i="17"/>
  <c r="D24" i="17"/>
  <c r="H10" i="17"/>
  <c r="I10" i="17"/>
  <c r="D17" i="17"/>
  <c r="J26" i="6"/>
  <c r="E26" i="6"/>
  <c r="H26" i="6"/>
  <c r="D26" i="6"/>
  <c r="I26" i="6"/>
  <c r="C17" i="17" l="1"/>
  <c r="E17" i="17"/>
  <c r="F16" i="17"/>
  <c r="E29" i="17"/>
  <c r="F29" i="17" s="1"/>
  <c r="D30" i="17"/>
  <c r="C30" i="17"/>
  <c r="E41" i="17"/>
  <c r="E35" i="17"/>
  <c r="D36" i="17"/>
  <c r="G23" i="17"/>
  <c r="F24" i="17"/>
  <c r="E24" i="17"/>
  <c r="O40" i="6"/>
  <c r="C32" i="6"/>
  <c r="C17" i="6"/>
  <c r="C26" i="6"/>
  <c r="O7" i="6"/>
  <c r="E47" i="6"/>
  <c r="O25" i="6"/>
  <c r="O23" i="6"/>
  <c r="L26" i="6"/>
  <c r="O13" i="6"/>
  <c r="L17" i="6"/>
  <c r="O14" i="6"/>
  <c r="O15" i="6"/>
  <c r="O16" i="6"/>
  <c r="O22" i="6"/>
  <c r="O21" i="6"/>
  <c r="K26" i="6"/>
  <c r="K17" i="6"/>
  <c r="K8" i="6" s="1"/>
  <c r="O12" i="6"/>
  <c r="S8" i="11"/>
  <c r="I47" i="6" l="1"/>
  <c r="O27" i="6"/>
  <c r="E30" i="17"/>
  <c r="F17" i="17"/>
  <c r="G16" i="17"/>
  <c r="F41" i="17"/>
  <c r="E42" i="17"/>
  <c r="G24" i="17"/>
  <c r="H23" i="17"/>
  <c r="F35" i="17"/>
  <c r="E36" i="17"/>
  <c r="F30" i="17"/>
  <c r="G29" i="17"/>
  <c r="O24" i="6"/>
  <c r="O26" i="6"/>
  <c r="O17" i="6"/>
  <c r="F42" i="17" l="1"/>
  <c r="G41" i="17"/>
  <c r="G17" i="17"/>
  <c r="H16" i="17"/>
  <c r="G30" i="17"/>
  <c r="H29" i="17"/>
  <c r="G35" i="17"/>
  <c r="F36" i="17"/>
  <c r="H24" i="17"/>
  <c r="I23" i="17"/>
  <c r="P17" i="6"/>
  <c r="O8" i="6"/>
  <c r="P26" i="6"/>
  <c r="H17" i="17" l="1"/>
  <c r="I16" i="17"/>
  <c r="H41" i="17"/>
  <c r="G42" i="17"/>
  <c r="H30" i="17"/>
  <c r="I29" i="17"/>
  <c r="I24" i="17"/>
  <c r="J23" i="17"/>
  <c r="G36" i="17"/>
  <c r="H35" i="17"/>
  <c r="I41" i="17" l="1"/>
  <c r="H42" i="17"/>
  <c r="J16" i="17"/>
  <c r="I17" i="17"/>
  <c r="H36" i="17"/>
  <c r="I35" i="17"/>
  <c r="J24" i="17"/>
  <c r="K23" i="17"/>
  <c r="J29" i="17"/>
  <c r="I30" i="17"/>
  <c r="J17" i="17" l="1"/>
  <c r="K16" i="17"/>
  <c r="J41" i="17"/>
  <c r="I42" i="17"/>
  <c r="K29" i="17"/>
  <c r="J30" i="17"/>
  <c r="K24" i="17"/>
  <c r="L23" i="17"/>
  <c r="J35" i="17"/>
  <c r="I36" i="17"/>
  <c r="K41" i="17" l="1"/>
  <c r="J42" i="17"/>
  <c r="L16" i="17"/>
  <c r="K17" i="17"/>
  <c r="L29" i="17"/>
  <c r="K30" i="17"/>
  <c r="K35" i="17"/>
  <c r="J36" i="17"/>
  <c r="L24" i="17"/>
  <c r="M23" i="17"/>
  <c r="M16" i="17" l="1"/>
  <c r="L17" i="17"/>
  <c r="K42" i="17"/>
  <c r="L41" i="17"/>
  <c r="M24" i="17"/>
  <c r="N23" i="17"/>
  <c r="N24" i="17" s="1"/>
  <c r="L35" i="17"/>
  <c r="K36" i="17"/>
  <c r="L30" i="17"/>
  <c r="M29" i="17"/>
  <c r="L42" i="17" l="1"/>
  <c r="M41" i="17"/>
  <c r="M17" i="17"/>
  <c r="N16" i="17"/>
  <c r="N17" i="17" s="1"/>
  <c r="M30" i="17"/>
  <c r="N29" i="17"/>
  <c r="M35" i="17"/>
  <c r="L36" i="17"/>
  <c r="N41" i="17" l="1"/>
  <c r="N42" i="17" s="1"/>
  <c r="M42" i="17"/>
  <c r="R9" i="17"/>
  <c r="R10" i="17" s="1"/>
  <c r="N35" i="17"/>
  <c r="M36" i="17"/>
  <c r="N30" i="17"/>
  <c r="P9" i="17"/>
  <c r="P10" i="17" s="1"/>
  <c r="N36" i="17" l="1"/>
  <c r="Q9" i="17"/>
  <c r="Q10" i="17" s="1"/>
</calcChain>
</file>

<file path=xl/sharedStrings.xml><?xml version="1.0" encoding="utf-8"?>
<sst xmlns="http://schemas.openxmlformats.org/spreadsheetml/2006/main" count="1441" uniqueCount="273">
  <si>
    <t>Licitaciones</t>
  </si>
  <si>
    <t>Compras Coordinadas</t>
  </si>
  <si>
    <t>N° orden de compra</t>
  </si>
  <si>
    <t>Nombre de la OC</t>
  </si>
  <si>
    <t>Tipo de compra</t>
  </si>
  <si>
    <t>Estado OC</t>
  </si>
  <si>
    <t>Nombre Proveedor</t>
  </si>
  <si>
    <t>RUT Proveedor</t>
  </si>
  <si>
    <t>Fecha de creación OC</t>
  </si>
  <si>
    <t>Fecha envió de OC</t>
  </si>
  <si>
    <t>Monto neto</t>
  </si>
  <si>
    <t>Descuentos</t>
  </si>
  <si>
    <t>Cargos</t>
  </si>
  <si>
    <t>I.V.A</t>
  </si>
  <si>
    <t>Impuesto Específico</t>
  </si>
  <si>
    <t>Total OC</t>
  </si>
  <si>
    <t xml:space="preserve">Contrataciones </t>
  </si>
  <si>
    <t>Ordenes de Compra</t>
  </si>
  <si>
    <t>Total</t>
  </si>
  <si>
    <t>Ejecución Mensual</t>
  </si>
  <si>
    <t>Ejecución Acumulada</t>
  </si>
  <si>
    <t>% Ejecución acumulada</t>
  </si>
  <si>
    <t>Unidad compradora</t>
  </si>
  <si>
    <t>Ejecución Presupuestaria (En M$)</t>
  </si>
  <si>
    <t>Enero</t>
  </si>
  <si>
    <t>Febrero</t>
  </si>
  <si>
    <t>Acumulado</t>
  </si>
  <si>
    <t>Trato Directo</t>
  </si>
  <si>
    <t>Marzo</t>
  </si>
  <si>
    <t>Abril</t>
  </si>
  <si>
    <t>Mayo</t>
  </si>
  <si>
    <t>Junio</t>
  </si>
  <si>
    <t>Presupuesto anual aprobado</t>
  </si>
  <si>
    <t>Presupuesto total</t>
  </si>
  <si>
    <t>Presupuesto ejecutado</t>
  </si>
  <si>
    <t>% de ejecución (sobre presupuesto total)</t>
  </si>
  <si>
    <t>Julio</t>
  </si>
  <si>
    <t>Agosto</t>
  </si>
  <si>
    <t>Septiembre</t>
  </si>
  <si>
    <t>Octubre</t>
  </si>
  <si>
    <t>Noviembre</t>
  </si>
  <si>
    <t>Diciembre</t>
  </si>
  <si>
    <t xml:space="preserve">Presupuesto ejecutado en el mes </t>
  </si>
  <si>
    <t>Presupuesto ejecutado acumulada</t>
  </si>
  <si>
    <t>% de ejecución presupuestaria</t>
  </si>
  <si>
    <t>Presupuesto ejecutado en el mes</t>
  </si>
  <si>
    <t>HISTORICO PPTO Y EJECUCION</t>
  </si>
  <si>
    <t>Presupuesto Total</t>
  </si>
  <si>
    <t xml:space="preserve">Octubre </t>
  </si>
  <si>
    <t>Tipo Moneda</t>
  </si>
  <si>
    <t>Tipo de cambio</t>
  </si>
  <si>
    <t>Total OC en $</t>
  </si>
  <si>
    <t>Monto Tipo de cambio</t>
  </si>
  <si>
    <t>Convenio Marco</t>
  </si>
  <si>
    <t>Sumatoria Enero</t>
  </si>
  <si>
    <t>Compra Ágil</t>
  </si>
  <si>
    <t>Total Acumulado</t>
  </si>
  <si>
    <t>Control</t>
  </si>
  <si>
    <t>Ordenes de Compra emitidas en MP</t>
  </si>
  <si>
    <t>Subtítulo 21</t>
  </si>
  <si>
    <t>Subtítulo 22</t>
  </si>
  <si>
    <t>Subtítulo 23</t>
  </si>
  <si>
    <t>Subtítulo 29</t>
  </si>
  <si>
    <t>Ejecución (En M$)</t>
  </si>
  <si>
    <t>Subtítulo 26</t>
  </si>
  <si>
    <t>lineal</t>
  </si>
  <si>
    <t>Reclamo</t>
  </si>
  <si>
    <t>Pago no oportuno</t>
  </si>
  <si>
    <t>Irregul. Proceso de Compra</t>
  </si>
  <si>
    <t>Total % Meta</t>
  </si>
  <si>
    <t>5752-5-AG26</t>
  </si>
  <si>
    <t>Servicio de Coffee Break en la ciudad de Coyhaique.</t>
  </si>
  <si>
    <t>Aceptada</t>
  </si>
  <si>
    <t>Consejo para la Transparencia</t>
  </si>
  <si>
    <t>BEATRIZ SOLEDAD CUBILLA WANDERSLEBEN</t>
  </si>
  <si>
    <t>18.470.403-k</t>
  </si>
  <si>
    <t>5752-4-AG26</t>
  </si>
  <si>
    <t>Plan Equipo Premier de Survey Monkey.</t>
  </si>
  <si>
    <t>FLEX SSS SPA</t>
  </si>
  <si>
    <t>76.992.701-8</t>
  </si>
  <si>
    <t>5752-3-AG26</t>
  </si>
  <si>
    <t>Servicio de impresión de cartilla para el Consejo para la Transparencia.</t>
  </si>
  <si>
    <t>IMPRENTA LICANRAY LIMITADA</t>
  </si>
  <si>
    <t>79.779.390-6</t>
  </si>
  <si>
    <t>5752-2-AG26</t>
  </si>
  <si>
    <t>Servicio de Coffee Break en Antofagasta y en Mejillones.</t>
  </si>
  <si>
    <t>LAV SPA</t>
  </si>
  <si>
    <t>76.909.956-5</t>
  </si>
  <si>
    <t>5752-1-AG26</t>
  </si>
  <si>
    <t>Servicio de Coffee Break en la ciudad de Iquique</t>
  </si>
  <si>
    <t>YANKO CARLOS BURGOS ARIAS</t>
  </si>
  <si>
    <t>9.464.405-4</t>
  </si>
  <si>
    <t>Licitación Publicada en Lobby</t>
  </si>
  <si>
    <t>N/A</t>
  </si>
  <si>
    <t>$</t>
  </si>
  <si>
    <t>Presupuesto Res.488</t>
  </si>
  <si>
    <t>Sumatoria Febrero</t>
  </si>
  <si>
    <t>5752-11-AG26</t>
  </si>
  <si>
    <t>Confección e instalación cortinas Roller blackout para oficinas del CPLT.</t>
  </si>
  <si>
    <t>CORTINAS ROLLER PRO SPA</t>
  </si>
  <si>
    <t>76.790.387-1</t>
  </si>
  <si>
    <t>5752-10-AG26</t>
  </si>
  <si>
    <t>Remodelación Cierre oficinas con panel vidriado CPLT.</t>
  </si>
  <si>
    <t>REXCON CONSTRUCTORA SPA</t>
  </si>
  <si>
    <t>78.090.792-4</t>
  </si>
  <si>
    <t>5752-9-CM26</t>
  </si>
  <si>
    <t>Pasaje Sr. Egon Montecinos Santiago - Temuco.</t>
  </si>
  <si>
    <t>LATAM AIRLINES GROUP S.A.</t>
  </si>
  <si>
    <t>89.862.200-2</t>
  </si>
  <si>
    <t>5752-8-CM26</t>
  </si>
  <si>
    <t>Pasajes Sr. Egon Montecinos Valdivia - Santiago.</t>
  </si>
  <si>
    <t>5752-7-AG26</t>
  </si>
  <si>
    <t>Porta credenciales y bolsas para Seminario Consejo para la Transparencia.</t>
  </si>
  <si>
    <t>OBSEKIOS PROMOCIONALES SPA</t>
  </si>
  <si>
    <t>77.669.338-3</t>
  </si>
  <si>
    <t>5752-6-SE26</t>
  </si>
  <si>
    <t>Plataforma Tecnológica, operación, soporte y mant.</t>
  </si>
  <si>
    <t>GUADALTEL CHILE SERVICIOS DE INFORMACION SPA</t>
  </si>
  <si>
    <t>76.108.701-0</t>
  </si>
  <si>
    <t>Sumatoria Marzo</t>
  </si>
  <si>
    <t>5752-14-SE26</t>
  </si>
  <si>
    <t>Suministro de pasajes aéreos internacionales</t>
  </si>
  <si>
    <t>TRAVEL SECURITY S.A.</t>
  </si>
  <si>
    <t>85.633.900-9</t>
  </si>
  <si>
    <t>5752-13-AG26</t>
  </si>
  <si>
    <t>Servicio de impresión de guías para el Consejo para la Transparencia.</t>
  </si>
  <si>
    <t>CREATIVA IMPRESA SPA</t>
  </si>
  <si>
    <t>76.766.791-4</t>
  </si>
  <si>
    <t>5752-12-AG26</t>
  </si>
  <si>
    <t>Servicio de empavonado en paneles vidriados.</t>
  </si>
  <si>
    <t>COMERCIAL OC SPA</t>
  </si>
  <si>
    <t>77.649.488-7</t>
  </si>
  <si>
    <t>Sumatoria Abril</t>
  </si>
  <si>
    <t>5752-23-AG26</t>
  </si>
  <si>
    <t>Examen detección consumo de drogas.</t>
  </si>
  <si>
    <t>UNIVERSIDAD DE CHILE</t>
  </si>
  <si>
    <t>60.910.000-1</t>
  </si>
  <si>
    <t>5752-22-AG26</t>
  </si>
  <si>
    <t>Suscripción Licencias Chat GPT open AI, Créditos API Chat GPT.</t>
  </si>
  <si>
    <t>5752-21-AG26</t>
  </si>
  <si>
    <t>Suscripción Licencias Claude AI Pro para el CPLT.</t>
  </si>
  <si>
    <t>5752-20-AG26</t>
  </si>
  <si>
    <t>Lectores códigos de barra para el CPLT.</t>
  </si>
  <si>
    <t>ENGINEER, PROJECT AND INNOVATION SPA</t>
  </si>
  <si>
    <t>78.095.722-0</t>
  </si>
  <si>
    <t>5752-19-AG26</t>
  </si>
  <si>
    <t>Servicio de Coffee break en la ciudad de San Felipe .</t>
  </si>
  <si>
    <t>LA GOLOSA SPA</t>
  </si>
  <si>
    <t>77.904.157-3</t>
  </si>
  <si>
    <t>5752-18-AG26</t>
  </si>
  <si>
    <t>Servicio de impresión de compendios para el Consejo para la Transparencia.</t>
  </si>
  <si>
    <t>A IMPRESORES S.A.</t>
  </si>
  <si>
    <t>96.830.710-k</t>
  </si>
  <si>
    <t>5752-16-AG26</t>
  </si>
  <si>
    <t>Servicio de alojamiento y servicios de alimentación.</t>
  </si>
  <si>
    <t>C.G. DEMERCADO SPA</t>
  </si>
  <si>
    <t>76.432.389-0</t>
  </si>
  <si>
    <t>5752-15-AG26</t>
  </si>
  <si>
    <t>Servicio de Coffee break en la ciudad de Santiago</t>
  </si>
  <si>
    <t>ANDREA CAROLINA VIDAL MATUS</t>
  </si>
  <si>
    <t>16.175.345-9</t>
  </si>
  <si>
    <t>Mod. Res.122</t>
  </si>
  <si>
    <t>Sumatoria Mayo</t>
  </si>
  <si>
    <t>5752-27-AG26</t>
  </si>
  <si>
    <t>Renovación de 2 licencias Tableau Creator</t>
  </si>
  <si>
    <t>TELECOSUR SPA</t>
  </si>
  <si>
    <t>77.757.727-1</t>
  </si>
  <si>
    <t>5752-26-AG26</t>
  </si>
  <si>
    <t>Adquisición de Insumos de oficina y aseo</t>
  </si>
  <si>
    <t>COMERCIAL FASIT LIMITADA</t>
  </si>
  <si>
    <t>76.607.224-0</t>
  </si>
  <si>
    <t>5752-25-AG26</t>
  </si>
  <si>
    <t>Servicio de desinstalación e instalación de puerta de vidrio templado</t>
  </si>
  <si>
    <t>GASFERVEN SPA</t>
  </si>
  <si>
    <t>77.288.459-1</t>
  </si>
  <si>
    <t>5752-24-AG26</t>
  </si>
  <si>
    <t>Normas Chilenas ISO</t>
  </si>
  <si>
    <t>INSTITUTO NACIONAL DE NORMALIZACION</t>
  </si>
  <si>
    <t>70.049.100-5</t>
  </si>
  <si>
    <t>Incorporaciones</t>
  </si>
  <si>
    <t>Reducciones</t>
  </si>
  <si>
    <t>Decreto Hacienda</t>
  </si>
  <si>
    <t>Sumatoria Junio</t>
  </si>
  <si>
    <t>5752-38-SE26</t>
  </si>
  <si>
    <t>Renovación de Licencias de Ofimáticas para el Consejo para la Transparencia</t>
  </si>
  <si>
    <t>CLARO CHILE SPA</t>
  </si>
  <si>
    <t>96.799.250-k</t>
  </si>
  <si>
    <t>5752-37-AG26</t>
  </si>
  <si>
    <t>Campaña Comunicacional Concurso Escolar</t>
  </si>
  <si>
    <t>SERVICIOS AUDIOVISUALES SOFAN SPA</t>
  </si>
  <si>
    <t>77.150.876-6</t>
  </si>
  <si>
    <t>5752-36-SE26</t>
  </si>
  <si>
    <t>5752-35-SE26</t>
  </si>
  <si>
    <t>Mantención, soporte técnico y mejoras de la plataf</t>
  </si>
  <si>
    <t>MS PROYECTOS SPA</t>
  </si>
  <si>
    <t>76.149.807-k</t>
  </si>
  <si>
    <t>5752-33-AG26</t>
  </si>
  <si>
    <t>Arriendo 3 Escáner Seminuevos para el CPLT.</t>
  </si>
  <si>
    <t>INTEGRACION DE SOLUCIONES LIMITADA</t>
  </si>
  <si>
    <t>76.128.275-1</t>
  </si>
  <si>
    <t>5752-32-AG26</t>
  </si>
  <si>
    <t>Servicio de Catering en la ciudad de Santiago</t>
  </si>
  <si>
    <t>VIVIAN ANGELICA DEL PILAR DE LA FUENTE ALACID</t>
  </si>
  <si>
    <t>13.104.370-8</t>
  </si>
  <si>
    <t>5752-31-CM26</t>
  </si>
  <si>
    <t>Compra de pasajes ida y vuelta nacional Santiago - La Serena Bernardo Navarrete</t>
  </si>
  <si>
    <t>5752-30-AG26</t>
  </si>
  <si>
    <t>Servicio de Coffee Break en Magallanes.</t>
  </si>
  <si>
    <t>V&amp;F INNOVACIONES SPA</t>
  </si>
  <si>
    <t>78.233.608-8</t>
  </si>
  <si>
    <t>5752-29-AG26</t>
  </si>
  <si>
    <t>Disco duro para servidor Lenovo ThinkSystem SR550</t>
  </si>
  <si>
    <t>CCIEXPRESS SERVICIOS TECNOLOGICOS SPA</t>
  </si>
  <si>
    <t>77.414.781-0</t>
  </si>
  <si>
    <t>5752-28-AG26</t>
  </si>
  <si>
    <t>Servicio de Coffee Break en Santiago.</t>
  </si>
  <si>
    <t>FABRICACIÓN Y VENTA DE REPOSTERÍA, INSUMOS, CATERING Y CAFETERÍA MANUELA VALENZUELA SANDOVAL E.I.R.L.</t>
  </si>
  <si>
    <t>77.028.014-1</t>
  </si>
  <si>
    <t>Enviada al proveedor</t>
  </si>
  <si>
    <t>Publicada</t>
  </si>
  <si>
    <t>Sumatoria Julio</t>
  </si>
  <si>
    <t>5752-43-SE26</t>
  </si>
  <si>
    <t>Servicio de telefonia fija para el CPLT.</t>
  </si>
  <si>
    <t>GTD INTESIS S.A</t>
  </si>
  <si>
    <t>78.159.800-3</t>
  </si>
  <si>
    <t>5752-42-AG26</t>
  </si>
  <si>
    <t>Suscripción Canva Negocios.</t>
  </si>
  <si>
    <t>5752-41-AG26</t>
  </si>
  <si>
    <t>Adquisición de renovación de 19 Firmas Electrónicas Avanzadas</t>
  </si>
  <si>
    <t>ACEPTA.COM SPA</t>
  </si>
  <si>
    <t>96.919.050-8</t>
  </si>
  <si>
    <t>5752-39-AG26</t>
  </si>
  <si>
    <t>Renovación de Licencia “Progress DevCraft Complete".</t>
  </si>
  <si>
    <t>Reclamos en Mercado Público</t>
  </si>
  <si>
    <t>Sumatoria Agosto</t>
  </si>
  <si>
    <t>5752-55-AG26</t>
  </si>
  <si>
    <t>Servicio de Coffee Break en la ciudad de Concepción.</t>
  </si>
  <si>
    <t>SERVICIOS DE PRODUCCIÓN DE EVENTOS Y COMIDAS AL PASO SPA</t>
  </si>
  <si>
    <t>78.115.424-5</t>
  </si>
  <si>
    <t>5752-54-CM26</t>
  </si>
  <si>
    <t>Compra de pasajes ida y vuelta nacional Santiago - Concepción Juan Pablo Camps</t>
  </si>
  <si>
    <t>5752-53-CM26</t>
  </si>
  <si>
    <t>Compra de pasajes ida y vuelta nacional Santiago - Concepción Isabel Figueroa</t>
  </si>
  <si>
    <t>5752-52-AG26</t>
  </si>
  <si>
    <t>Compra de insumos de oficina y aseo.</t>
  </si>
  <si>
    <t>COMERCIAL GMA SPA</t>
  </si>
  <si>
    <t>77.053.654-5</t>
  </si>
  <si>
    <t>5752-51-TD26</t>
  </si>
  <si>
    <t>Orden de Compra generada por Trato Directo ID 5752-1-FTD26</t>
  </si>
  <si>
    <t>5752-50-CM26</t>
  </si>
  <si>
    <t>Compra de pasajes ida y vuelta nacional Santiago - Concepción Juan Felipe Villanueva</t>
  </si>
  <si>
    <t>5752-49-CM26</t>
  </si>
  <si>
    <t>Compra de pasajes ida y vuelta nacional Santiago - Concepción Natalia González</t>
  </si>
  <si>
    <t>5752-48-CM26</t>
  </si>
  <si>
    <t>Compra de pasajes ida y vuelta nacional Santiago - Concepción David Ibaceta</t>
  </si>
  <si>
    <t>5752-47-CM26</t>
  </si>
  <si>
    <t>Compra de pasajes ida y vuelta nacional Santiago - Concepción Christian Anker</t>
  </si>
  <si>
    <t>5752-44-AG26</t>
  </si>
  <si>
    <t>Servicio de Coffee Break en la ciudad de Santa Cruz.</t>
  </si>
  <si>
    <t>ALEX DAVID MORENO VERDUGO</t>
  </si>
  <si>
    <t>14.262.795-7</t>
  </si>
  <si>
    <t>UF</t>
  </si>
  <si>
    <t>Sumatoria Septiembre</t>
  </si>
  <si>
    <t>5752-62-AG26</t>
  </si>
  <si>
    <t>Suscripción Licencias Claude.ai team standard seat.</t>
  </si>
  <si>
    <t>IWS CHILE SPA</t>
  </si>
  <si>
    <t>77.696.149-3</t>
  </si>
  <si>
    <t>5752-61-AG26</t>
  </si>
  <si>
    <t>Servicio de Catering "Fiestas Patrias" en la ciudad de Santiago</t>
  </si>
  <si>
    <t>5752-57-SE26</t>
  </si>
  <si>
    <t>Equipaje Adicional Viaje Stgo-Concep. N.González</t>
  </si>
  <si>
    <t>5752-56-SE26</t>
  </si>
  <si>
    <t>Equipaje Adicional Viaje Stgo-Concepción D.Ibaceta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</si>
</sst>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$&quot;* #,##0_ ;_ &quot;$&quot;* \-#,##0_ ;_ &quot;$&quot;* &quot;-&quot;_ ;_ @_ "/>
    <numFmt numFmtId="41" formatCode="_ * #,##0_ ;_ * \-#,##0_ ;_ * &quot;-&quot;_ ;_ @_ "/>
    <numFmt numFmtId="164" formatCode="_-&quot;$&quot;\ * #,##0.00_-;\-&quot;$&quot;\ * #,##0.00_-;_-&quot;$&quot;\ * &quot;-&quot;??_-;_-@_-"/>
    <numFmt numFmtId="165" formatCode="dd/mm/yyyy;@"/>
    <numFmt numFmtId="166" formatCode="_ * #,##0.00_ ;_ * \-#,##0.00_ ;_ * &quot;-&quot;_ ;_ @_ "/>
    <numFmt numFmtId="167" formatCode="0.0%"/>
    <numFmt numFmtId="168" formatCode="_ &quot;$&quot;* #,##0.00_ ;_ &quot;$&quot;* \-#,##0.00_ ;_ &quot;$&quot;* &quot;-&quot;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Book Antiqua"/>
      <family val="1"/>
    </font>
    <font>
      <b/>
      <sz val="9"/>
      <color theme="1"/>
      <name val="Book Antiqua"/>
      <family val="1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Book Antiqua"/>
      <family val="1"/>
    </font>
    <font>
      <sz val="10"/>
      <color theme="1"/>
      <name val="Book Antiqua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Book Antiqua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Verdana"/>
      <family val="2"/>
    </font>
    <font>
      <sz val="8"/>
      <color theme="1"/>
      <name val="Book Antiqua"/>
      <family val="1"/>
    </font>
    <font>
      <sz val="11"/>
      <color theme="1"/>
      <name val="Aptos"/>
      <family val="2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10"/>
      <color theme="0"/>
      <name val="Book Antiqua"/>
      <family val="1"/>
    </font>
    <font>
      <b/>
      <sz val="11"/>
      <color rgb="FFFFFFFF"/>
      <name val="Verdana"/>
      <family val="2"/>
    </font>
    <font>
      <b/>
      <sz val="11"/>
      <color rgb="FFFFFFFF"/>
      <name val="Calibri"/>
      <family val="2"/>
      <scheme val="minor"/>
    </font>
    <font>
      <sz val="10"/>
      <name val="Book Antiqua"/>
      <family val="1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8" borderId="6" applyNumberFormat="0" applyAlignment="0" applyProtection="0"/>
    <xf numFmtId="0" fontId="11" fillId="9" borderId="7" applyNumberFormat="0" applyAlignment="0" applyProtection="0"/>
    <xf numFmtId="0" fontId="12" fillId="9" borderId="6" applyNumberFormat="0" applyAlignment="0" applyProtection="0"/>
    <xf numFmtId="0" fontId="13" fillId="0" borderId="8" applyNumberFormat="0" applyFill="0" applyAlignment="0" applyProtection="0"/>
    <xf numFmtId="0" fontId="14" fillId="10" borderId="9" applyNumberFormat="0" applyAlignment="0" applyProtection="0"/>
    <xf numFmtId="0" fontId="15" fillId="0" borderId="0" applyNumberFormat="0" applyFill="0" applyBorder="0" applyAlignment="0" applyProtection="0"/>
    <xf numFmtId="0" fontId="1" fillId="11" borderId="10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7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9" fillId="0" borderId="0"/>
    <xf numFmtId="0" fontId="20" fillId="0" borderId="0"/>
    <xf numFmtId="0" fontId="21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9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9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2" fontId="1" fillId="0" borderId="0" applyFont="0" applyFill="0" applyBorder="0" applyAlignment="0" applyProtection="0"/>
  </cellStyleXfs>
  <cellXfs count="100">
    <xf numFmtId="0" fontId="0" fillId="0" borderId="0" xfId="0"/>
    <xf numFmtId="0" fontId="22" fillId="0" borderId="0" xfId="0" applyFont="1"/>
    <xf numFmtId="0" fontId="23" fillId="0" borderId="1" xfId="0" applyFont="1" applyBorder="1" applyAlignment="1">
      <alignment vertical="center" wrapText="1"/>
    </xf>
    <xf numFmtId="41" fontId="22" fillId="0" borderId="1" xfId="1" applyFont="1" applyBorder="1" applyAlignment="1">
      <alignment vertical="center" wrapText="1"/>
    </xf>
    <xf numFmtId="10" fontId="22" fillId="0" borderId="1" xfId="2" applyNumberFormat="1" applyFont="1" applyBorder="1" applyAlignment="1">
      <alignment vertical="center" wrapText="1"/>
    </xf>
    <xf numFmtId="10" fontId="22" fillId="0" borderId="1" xfId="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1" fontId="22" fillId="0" borderId="1" xfId="1" applyFont="1" applyFill="1" applyBorder="1" applyAlignment="1">
      <alignment vertical="center" wrapText="1"/>
    </xf>
    <xf numFmtId="0" fontId="26" fillId="0" borderId="0" xfId="0" applyFont="1" applyAlignment="1">
      <alignment vertical="center"/>
    </xf>
    <xf numFmtId="0" fontId="27" fillId="0" borderId="0" xfId="0" applyFont="1"/>
    <xf numFmtId="0" fontId="27" fillId="2" borderId="1" xfId="0" applyFont="1" applyFill="1" applyBorder="1"/>
    <xf numFmtId="17" fontId="27" fillId="2" borderId="1" xfId="0" applyNumberFormat="1" applyFont="1" applyFill="1" applyBorder="1" applyAlignment="1">
      <alignment horizontal="center"/>
    </xf>
    <xf numFmtId="0" fontId="27" fillId="0" borderId="1" xfId="0" applyFont="1" applyBorder="1"/>
    <xf numFmtId="0" fontId="27" fillId="4" borderId="1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41" fontId="27" fillId="4" borderId="1" xfId="49" applyFont="1" applyFill="1" applyBorder="1" applyAlignment="1">
      <alignment horizontal="left"/>
    </xf>
    <xf numFmtId="41" fontId="27" fillId="4" borderId="1" xfId="49" applyFont="1" applyFill="1" applyBorder="1" applyAlignment="1">
      <alignment horizontal="center"/>
    </xf>
    <xf numFmtId="41" fontId="27" fillId="4" borderId="1" xfId="1" applyFont="1" applyFill="1" applyBorder="1" applyAlignment="1">
      <alignment horizontal="left"/>
    </xf>
    <xf numFmtId="0" fontId="27" fillId="0" borderId="0" xfId="0" applyFont="1" applyAlignment="1">
      <alignment horizontal="center"/>
    </xf>
    <xf numFmtId="41" fontId="27" fillId="0" borderId="1" xfId="1" applyFont="1" applyBorder="1"/>
    <xf numFmtId="41" fontId="27" fillId="0" borderId="0" xfId="0" applyNumberFormat="1" applyFont="1"/>
    <xf numFmtId="3" fontId="27" fillId="0" borderId="0" xfId="0" applyNumberFormat="1" applyFont="1"/>
    <xf numFmtId="41" fontId="27" fillId="0" borderId="1" xfId="1" applyFont="1" applyFill="1" applyBorder="1" applyAlignment="1">
      <alignment horizontal="left"/>
    </xf>
    <xf numFmtId="10" fontId="27" fillId="0" borderId="0" xfId="2" applyNumberFormat="1" applyFont="1"/>
    <xf numFmtId="10" fontId="26" fillId="4" borderId="1" xfId="2" applyNumberFormat="1" applyFont="1" applyFill="1" applyBorder="1" applyAlignment="1">
      <alignment horizontal="center"/>
    </xf>
    <xf numFmtId="41" fontId="22" fillId="0" borderId="1" xfId="0" applyNumberFormat="1" applyFont="1" applyBorder="1" applyAlignment="1">
      <alignment vertical="center" wrapText="1"/>
    </xf>
    <xf numFmtId="41" fontId="26" fillId="0" borderId="1" xfId="0" applyNumberFormat="1" applyFont="1" applyBorder="1"/>
    <xf numFmtId="9" fontId="27" fillId="0" borderId="0" xfId="2" applyFont="1"/>
    <xf numFmtId="0" fontId="0" fillId="0" borderId="12" xfId="0" applyBorder="1"/>
    <xf numFmtId="0" fontId="0" fillId="0" borderId="14" xfId="0" applyBorder="1"/>
    <xf numFmtId="3" fontId="0" fillId="0" borderId="12" xfId="0" applyNumberFormat="1" applyBorder="1"/>
    <xf numFmtId="0" fontId="33" fillId="0" borderId="1" xfId="0" applyFont="1" applyBorder="1" applyAlignment="1">
      <alignment horizontal="center"/>
    </xf>
    <xf numFmtId="0" fontId="34" fillId="0" borderId="0" xfId="0" applyFont="1"/>
    <xf numFmtId="42" fontId="34" fillId="0" borderId="0" xfId="0" applyNumberFormat="1" applyFont="1"/>
    <xf numFmtId="0" fontId="36" fillId="3" borderId="2" xfId="0" applyFont="1" applyFill="1" applyBorder="1" applyAlignment="1">
      <alignment horizontal="center" wrapText="1"/>
    </xf>
    <xf numFmtId="0" fontId="36" fillId="4" borderId="0" xfId="0" applyFont="1" applyFill="1" applyAlignment="1">
      <alignment horizontal="center"/>
    </xf>
    <xf numFmtId="0" fontId="36" fillId="3" borderId="0" xfId="0" applyFont="1" applyFill="1" applyAlignment="1">
      <alignment horizontal="center"/>
    </xf>
    <xf numFmtId="41" fontId="26" fillId="4" borderId="1" xfId="1" applyFont="1" applyFill="1" applyBorder="1" applyAlignment="1">
      <alignment horizontal="center"/>
    </xf>
    <xf numFmtId="0" fontId="37" fillId="4" borderId="1" xfId="0" applyFont="1" applyFill="1" applyBorder="1" applyAlignment="1">
      <alignment wrapText="1"/>
    </xf>
    <xf numFmtId="0" fontId="37" fillId="4" borderId="1" xfId="0" applyFont="1" applyFill="1" applyBorder="1" applyAlignment="1">
      <alignment horizontal="left"/>
    </xf>
    <xf numFmtId="0" fontId="32" fillId="4" borderId="1" xfId="0" applyFont="1" applyFill="1" applyBorder="1" applyAlignment="1">
      <alignment horizontal="left"/>
    </xf>
    <xf numFmtId="0" fontId="37" fillId="4" borderId="1" xfId="0" applyFont="1" applyFill="1" applyBorder="1"/>
    <xf numFmtId="165" fontId="37" fillId="4" borderId="1" xfId="0" applyNumberFormat="1" applyFont="1" applyFill="1" applyBorder="1" applyAlignment="1">
      <alignment wrapText="1"/>
    </xf>
    <xf numFmtId="3" fontId="37" fillId="4" borderId="1" xfId="0" applyNumberFormat="1" applyFont="1" applyFill="1" applyBorder="1" applyAlignment="1">
      <alignment wrapText="1"/>
    </xf>
    <xf numFmtId="3" fontId="37" fillId="4" borderId="1" xfId="0" applyNumberFormat="1" applyFont="1" applyFill="1" applyBorder="1"/>
    <xf numFmtId="0" fontId="38" fillId="3" borderId="15" xfId="0" applyFont="1" applyFill="1" applyBorder="1" applyAlignment="1">
      <alignment horizontal="center" wrapText="1"/>
    </xf>
    <xf numFmtId="3" fontId="35" fillId="36" borderId="0" xfId="0" applyNumberFormat="1" applyFont="1" applyFill="1"/>
    <xf numFmtId="0" fontId="35" fillId="36" borderId="0" xfId="0" applyFont="1" applyFill="1"/>
    <xf numFmtId="0" fontId="35" fillId="37" borderId="12" xfId="0" applyFont="1" applyFill="1" applyBorder="1"/>
    <xf numFmtId="42" fontId="27" fillId="4" borderId="1" xfId="59" applyFont="1" applyFill="1" applyBorder="1" applyAlignment="1">
      <alignment horizontal="center"/>
    </xf>
    <xf numFmtId="42" fontId="26" fillId="4" borderId="1" xfId="59" applyFont="1" applyFill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2" fontId="26" fillId="0" borderId="1" xfId="59" applyFont="1" applyBorder="1" applyAlignment="1">
      <alignment horizontal="center"/>
    </xf>
    <xf numFmtId="41" fontId="39" fillId="38" borderId="0" xfId="1" applyFont="1" applyFill="1"/>
    <xf numFmtId="3" fontId="2" fillId="37" borderId="13" xfId="0" applyNumberFormat="1" applyFont="1" applyFill="1" applyBorder="1"/>
    <xf numFmtId="0" fontId="2" fillId="37" borderId="12" xfId="0" applyFont="1" applyFill="1" applyBorder="1"/>
    <xf numFmtId="10" fontId="26" fillId="4" borderId="0" xfId="2" applyNumberFormat="1" applyFont="1" applyFill="1" applyBorder="1" applyAlignment="1">
      <alignment horizontal="center"/>
    </xf>
    <xf numFmtId="41" fontId="26" fillId="4" borderId="1" xfId="2" applyNumberFormat="1" applyFont="1" applyFill="1" applyBorder="1" applyAlignment="1">
      <alignment horizontal="center"/>
    </xf>
    <xf numFmtId="166" fontId="27" fillId="0" borderId="0" xfId="0" applyNumberFormat="1" applyFont="1"/>
    <xf numFmtId="0" fontId="40" fillId="0" borderId="0" xfId="0" applyFont="1" applyAlignment="1">
      <alignment vertical="center" wrapText="1"/>
    </xf>
    <xf numFmtId="0" fontId="42" fillId="39" borderId="1" xfId="0" applyFont="1" applyFill="1" applyBorder="1" applyAlignment="1">
      <alignment vertical="center"/>
    </xf>
    <xf numFmtId="0" fontId="42" fillId="39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vertical="center"/>
    </xf>
    <xf numFmtId="0" fontId="42" fillId="40" borderId="1" xfId="0" applyFont="1" applyFill="1" applyBorder="1" applyAlignment="1">
      <alignment horizontal="center" vertical="center"/>
    </xf>
    <xf numFmtId="0" fontId="41" fillId="4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/>
    <xf numFmtId="41" fontId="43" fillId="0" borderId="0" xfId="1" applyFont="1"/>
    <xf numFmtId="167" fontId="17" fillId="0" borderId="0" xfId="2" applyNumberFormat="1" applyFont="1"/>
    <xf numFmtId="3" fontId="43" fillId="0" borderId="0" xfId="0" applyNumberFormat="1" applyFont="1" applyAlignment="1">
      <alignment horizontal="right" vertical="center"/>
    </xf>
    <xf numFmtId="0" fontId="17" fillId="0" borderId="0" xfId="0" applyFont="1"/>
    <xf numFmtId="1" fontId="17" fillId="0" borderId="0" xfId="0" applyNumberFormat="1" applyFont="1"/>
    <xf numFmtId="41" fontId="43" fillId="0" borderId="0" xfId="0" applyNumberFormat="1" applyFont="1"/>
    <xf numFmtId="0" fontId="22" fillId="0" borderId="0" xfId="0" applyFont="1" applyAlignment="1">
      <alignment vertical="center"/>
    </xf>
    <xf numFmtId="3" fontId="34" fillId="0" borderId="0" xfId="0" applyNumberFormat="1" applyFont="1"/>
    <xf numFmtId="0" fontId="35" fillId="37" borderId="14" xfId="0" applyFont="1" applyFill="1" applyBorder="1"/>
    <xf numFmtId="3" fontId="35" fillId="37" borderId="12" xfId="0" applyNumberFormat="1" applyFont="1" applyFill="1" applyBorder="1"/>
    <xf numFmtId="0" fontId="34" fillId="0" borderId="14" xfId="0" applyFont="1" applyBorder="1"/>
    <xf numFmtId="0" fontId="34" fillId="0" borderId="12" xfId="0" applyFont="1" applyBorder="1"/>
    <xf numFmtId="3" fontId="34" fillId="0" borderId="12" xfId="0" applyNumberFormat="1" applyFont="1" applyBorder="1"/>
    <xf numFmtId="0" fontId="41" fillId="41" borderId="1" xfId="0" applyFont="1" applyFill="1" applyBorder="1" applyAlignment="1">
      <alignment vertical="center"/>
    </xf>
    <xf numFmtId="10" fontId="41" fillId="41" borderId="1" xfId="2" applyNumberFormat="1" applyFont="1" applyFill="1" applyBorder="1" applyAlignment="1">
      <alignment horizontal="center" vertical="center"/>
    </xf>
    <xf numFmtId="3" fontId="37" fillId="4" borderId="1" xfId="0" applyNumberFormat="1" applyFont="1" applyFill="1" applyBorder="1" applyAlignment="1">
      <alignment horizontal="center"/>
    </xf>
    <xf numFmtId="3" fontId="35" fillId="37" borderId="13" xfId="0" applyNumberFormat="1" applyFont="1" applyFill="1" applyBorder="1" applyAlignment="1">
      <alignment horizontal="center"/>
    </xf>
    <xf numFmtId="3" fontId="34" fillId="0" borderId="16" xfId="0" applyNumberFormat="1" applyFont="1" applyBorder="1" applyAlignment="1">
      <alignment horizontal="center"/>
    </xf>
    <xf numFmtId="3" fontId="35" fillId="37" borderId="17" xfId="0" applyNumberFormat="1" applyFont="1" applyFill="1" applyBorder="1"/>
    <xf numFmtId="3" fontId="35" fillId="37" borderId="18" xfId="0" applyNumberFormat="1" applyFont="1" applyFill="1" applyBorder="1"/>
    <xf numFmtId="0" fontId="44" fillId="3" borderId="15" xfId="0" applyFont="1" applyFill="1" applyBorder="1" applyAlignment="1">
      <alignment horizontal="center" wrapText="1"/>
    </xf>
    <xf numFmtId="0" fontId="45" fillId="4" borderId="0" xfId="0" applyFont="1" applyFill="1" applyAlignment="1">
      <alignment horizontal="center"/>
    </xf>
    <xf numFmtId="0" fontId="45" fillId="3" borderId="0" xfId="0" applyFont="1" applyFill="1" applyAlignment="1">
      <alignment horizontal="center"/>
    </xf>
    <xf numFmtId="0" fontId="22" fillId="0" borderId="1" xfId="0" applyFont="1" applyBorder="1"/>
    <xf numFmtId="41" fontId="22" fillId="0" borderId="1" xfId="1" applyFont="1" applyBorder="1"/>
    <xf numFmtId="10" fontId="32" fillId="0" borderId="0" xfId="2" applyNumberFormat="1" applyFont="1"/>
    <xf numFmtId="41" fontId="26" fillId="36" borderId="1" xfId="2" applyNumberFormat="1" applyFont="1" applyFill="1" applyBorder="1" applyAlignment="1">
      <alignment horizontal="center"/>
    </xf>
    <xf numFmtId="168" fontId="37" fillId="4" borderId="1" xfId="59" applyNumberFormat="1" applyFont="1" applyFill="1" applyBorder="1"/>
    <xf numFmtId="41" fontId="27" fillId="0" borderId="1" xfId="49" applyFont="1" applyFill="1" applyBorder="1" applyAlignment="1">
      <alignment horizontal="center"/>
    </xf>
    <xf numFmtId="10" fontId="26" fillId="0" borderId="1" xfId="2" applyNumberFormat="1" applyFont="1" applyFill="1" applyBorder="1" applyAlignment="1">
      <alignment horizontal="center"/>
    </xf>
    <xf numFmtId="0" fontId="41" fillId="0" borderId="0" xfId="0" applyFont="1" applyAlignment="1">
      <alignment vertical="center"/>
    </xf>
    <xf numFmtId="41" fontId="46" fillId="0" borderId="0" xfId="0" applyNumberFormat="1" applyFont="1"/>
  </cellXfs>
  <cellStyles count="73">
    <cellStyle name="20% - Énfasis1" xfId="20" builtinId="30" customBuiltin="1"/>
    <cellStyle name="20% - Énfasis2" xfId="23" builtinId="34" customBuiltin="1"/>
    <cellStyle name="20% - Énfasis3" xfId="26" builtinId="38" customBuiltin="1"/>
    <cellStyle name="20% - Énfasis4" xfId="29" builtinId="42" customBuiltin="1"/>
    <cellStyle name="20% - Énfasis5" xfId="32" builtinId="46" customBuiltin="1"/>
    <cellStyle name="20% - Énfasis6" xfId="35" builtinId="50" customBuiltin="1"/>
    <cellStyle name="40% - Énfasis1" xfId="21" builtinId="31" customBuiltin="1"/>
    <cellStyle name="40% - Énfasis2" xfId="24" builtinId="35" customBuiltin="1"/>
    <cellStyle name="40% - Énfasis3" xfId="27" builtinId="39" customBuiltin="1"/>
    <cellStyle name="40% - Énfasis4" xfId="30" builtinId="43" customBuiltin="1"/>
    <cellStyle name="40% - Énfasis5" xfId="33" builtinId="47" customBuiltin="1"/>
    <cellStyle name="40% - Énfasis6" xfId="36" builtinId="51" customBuiltin="1"/>
    <cellStyle name="60% - Énfasis1 2" xfId="40" xr:uid="{00000000-0005-0000-0000-00000C000000}"/>
    <cellStyle name="60% - Énfasis2 2" xfId="41" xr:uid="{00000000-0005-0000-0000-00000D000000}"/>
    <cellStyle name="60% - Énfasis3 2" xfId="42" xr:uid="{00000000-0005-0000-0000-00000E000000}"/>
    <cellStyle name="60% - Énfasis4 2" xfId="43" xr:uid="{00000000-0005-0000-0000-00000F000000}"/>
    <cellStyle name="60% - Énfasis5 2" xfId="44" xr:uid="{00000000-0005-0000-0000-000010000000}"/>
    <cellStyle name="60% - Énfasis6 2" xfId="45" xr:uid="{00000000-0005-0000-0000-000011000000}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2" builtinId="33" customBuiltin="1"/>
    <cellStyle name="Énfasis3" xfId="25" builtinId="37" customBuiltin="1"/>
    <cellStyle name="Énfasis4" xfId="28" builtinId="41" customBuiltin="1"/>
    <cellStyle name="Énfasis5" xfId="31" builtinId="45" customBuiltin="1"/>
    <cellStyle name="Énfasis6" xfId="34" builtinId="49" customBuiltin="1"/>
    <cellStyle name="Entrada" xfId="10" builtinId="20" customBuiltin="1"/>
    <cellStyle name="Incorrecto" xfId="9" builtinId="27" customBuiltin="1"/>
    <cellStyle name="Millares [0]" xfId="1" builtinId="6"/>
    <cellStyle name="Millares [0] 2" xfId="37" xr:uid="{00000000-0005-0000-0000-000021000000}"/>
    <cellStyle name="Millares [0] 2 2" xfId="51" xr:uid="{8EB0F839-B755-41A0-A585-D39AF55DA626}"/>
    <cellStyle name="Millares [0] 2 2 2" xfId="65" xr:uid="{F41702B9-D794-412D-A08F-0C667D3F6795}"/>
    <cellStyle name="Millares [0] 2 3" xfId="61" xr:uid="{6AB626A7-AFEB-4C04-ABC3-B1352D0D20B9}"/>
    <cellStyle name="Millares [0] 3" xfId="49" xr:uid="{780A76E1-C01B-4737-B99F-0883DE7FF88B}"/>
    <cellStyle name="Millares [0] 3 2" xfId="63" xr:uid="{875074CC-4726-449B-804A-247C82B0E3AE}"/>
    <cellStyle name="Millares [0] 4" xfId="60" xr:uid="{0747745A-0142-45C2-9CC7-99C9FF4AAD85}"/>
    <cellStyle name="Moneda [0]" xfId="59" builtinId="7"/>
    <cellStyle name="Moneda [0] 2" xfId="50" xr:uid="{2FCF3052-2771-4935-883A-38309F4B8E88}"/>
    <cellStyle name="Moneda [0] 2 2" xfId="64" xr:uid="{1E1CACE8-5C78-4CA7-831E-CCD1619D5A91}"/>
    <cellStyle name="Moneda [0] 3" xfId="72" xr:uid="{12B595DC-0C3E-407B-BC1D-0417F9C96AF3}"/>
    <cellStyle name="Moneda 2" xfId="38" xr:uid="{00000000-0005-0000-0000-000024000000}"/>
    <cellStyle name="Neutral 2" xfId="39" xr:uid="{00000000-0005-0000-0000-000025000000}"/>
    <cellStyle name="Normal" xfId="0" builtinId="0"/>
    <cellStyle name="Normal 10" xfId="58" xr:uid="{75FA7CDF-D6C7-461B-A9D2-4A34243DDC8C}"/>
    <cellStyle name="Normal 10 2" xfId="71" xr:uid="{D8F61573-C12F-4270-A2E5-BAD0E9CC367D}"/>
    <cellStyle name="Normal 2" xfId="46" xr:uid="{00000000-0005-0000-0000-000027000000}"/>
    <cellStyle name="Normal 3" xfId="47" xr:uid="{00000000-0005-0000-0000-000028000000}"/>
    <cellStyle name="Normal 3 2" xfId="52" xr:uid="{DCCF52E6-7957-461A-95E6-7677D3F8CB62}"/>
    <cellStyle name="Normal 4" xfId="48" xr:uid="{B1A0FEBE-2CFF-411D-ADA0-2F857523B530}"/>
    <cellStyle name="Normal 4 2" xfId="62" xr:uid="{7B9D9756-01B6-4DDA-88CB-2EAF8D21D64E}"/>
    <cellStyle name="Normal 5" xfId="53" xr:uid="{420EB464-6EC2-49E7-B8FA-62589C012D7E}"/>
    <cellStyle name="Normal 5 2" xfId="66" xr:uid="{D8FD9AB7-B5DB-432E-B4FD-572A0838A6A4}"/>
    <cellStyle name="Normal 6" xfId="54" xr:uid="{4A87D451-E933-44DE-B57A-43FBD91A5130}"/>
    <cellStyle name="Normal 6 2" xfId="67" xr:uid="{F8A7199F-9C96-4962-A7F1-FF411F73E751}"/>
    <cellStyle name="Normal 7" xfId="55" xr:uid="{077A61CE-EE00-4E72-954D-EB23F105D775}"/>
    <cellStyle name="Normal 7 2" xfId="68" xr:uid="{4D58F8AF-B1E6-41AF-9F2F-79BE1ED90CE9}"/>
    <cellStyle name="Normal 8" xfId="56" xr:uid="{9CB74F41-5570-4888-8DD2-776BA35809C9}"/>
    <cellStyle name="Normal 8 2" xfId="69" xr:uid="{4A8136D4-BB22-43EB-BB8D-3CA4DC5717FE}"/>
    <cellStyle name="Normal 9" xfId="57" xr:uid="{048205F3-7321-4729-89CF-124AAE1FCB4F}"/>
    <cellStyle name="Normal 9 2" xfId="70" xr:uid="{38626EEF-77D0-4C82-978B-BFC0F170FD29}"/>
    <cellStyle name="Notas" xfId="16" builtinId="10" customBuiltin="1"/>
    <cellStyle name="Porcentaje" xfId="2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9"/>
  <sheetViews>
    <sheetView topLeftCell="A14" zoomScale="90" zoomScaleNormal="90" workbookViewId="0">
      <selection activeCell="K53" sqref="K53"/>
    </sheetView>
  </sheetViews>
  <sheetFormatPr baseColWidth="10" defaultColWidth="11.453125" defaultRowHeight="13" x14ac:dyDescent="0.3"/>
  <cols>
    <col min="1" max="1" width="11.453125" style="9" customWidth="1"/>
    <col min="2" max="2" width="24.81640625" style="9" customWidth="1"/>
    <col min="3" max="3" width="15.1796875" style="9" bestFit="1" customWidth="1"/>
    <col min="4" max="4" width="13.1796875" style="9" customWidth="1"/>
    <col min="5" max="5" width="14.81640625" style="9" customWidth="1"/>
    <col min="6" max="6" width="11.54296875" style="9" customWidth="1"/>
    <col min="7" max="7" width="13.81640625" style="9" customWidth="1"/>
    <col min="8" max="8" width="11.54296875" style="9" customWidth="1"/>
    <col min="9" max="9" width="13.81640625" style="9" customWidth="1"/>
    <col min="10" max="10" width="12.7265625" style="9" bestFit="1" customWidth="1"/>
    <col min="11" max="11" width="12.81640625" style="9" customWidth="1"/>
    <col min="12" max="12" width="11.54296875" style="9" customWidth="1"/>
    <col min="13" max="13" width="13" style="9" customWidth="1"/>
    <col min="14" max="14" width="11.54296875" style="9" customWidth="1"/>
    <col min="15" max="15" width="13.81640625" style="9" customWidth="1"/>
    <col min="16" max="16" width="11.453125" style="9"/>
    <col min="17" max="17" width="12.7265625" style="9" bestFit="1" customWidth="1"/>
    <col min="18" max="18" width="11.453125" style="9"/>
    <col min="19" max="19" width="12.7265625" style="9" bestFit="1" customWidth="1"/>
    <col min="20" max="20" width="13.1796875" style="9" bestFit="1" customWidth="1"/>
    <col min="21" max="21" width="12.7265625" style="9" bestFit="1" customWidth="1"/>
    <col min="22" max="22" width="13.1796875" style="9" bestFit="1" customWidth="1"/>
    <col min="23" max="23" width="12.7265625" style="9" bestFit="1" customWidth="1"/>
    <col min="24" max="24" width="12.81640625" style="9" bestFit="1" customWidth="1"/>
    <col min="25" max="25" width="12.7265625" style="9" bestFit="1" customWidth="1"/>
    <col min="26" max="26" width="12.26953125" style="9" bestFit="1" customWidth="1"/>
    <col min="27" max="16384" width="11.453125" style="9"/>
  </cols>
  <sheetData>
    <row r="2" spans="2:15" x14ac:dyDescent="0.3">
      <c r="B2" s="98" t="s">
        <v>233</v>
      </c>
      <c r="C2" s="98"/>
    </row>
    <row r="3" spans="2:15" ht="14.5" x14ac:dyDescent="0.3">
      <c r="C3" s="60"/>
    </row>
    <row r="4" spans="2:15" x14ac:dyDescent="0.3">
      <c r="B4" s="61" t="s">
        <v>66</v>
      </c>
      <c r="C4" s="62" t="s">
        <v>24</v>
      </c>
      <c r="D4" s="62" t="s">
        <v>25</v>
      </c>
      <c r="E4" s="62" t="s">
        <v>28</v>
      </c>
      <c r="F4" s="62" t="s">
        <v>29</v>
      </c>
      <c r="G4" s="62" t="s">
        <v>30</v>
      </c>
      <c r="H4" s="62" t="s">
        <v>31</v>
      </c>
      <c r="I4" s="62" t="s">
        <v>36</v>
      </c>
      <c r="J4" s="62" t="s">
        <v>37</v>
      </c>
      <c r="K4" s="62" t="s">
        <v>38</v>
      </c>
      <c r="L4" s="62" t="s">
        <v>39</v>
      </c>
      <c r="M4" s="62" t="s">
        <v>40</v>
      </c>
      <c r="N4" s="62" t="s">
        <v>41</v>
      </c>
      <c r="O4" s="62" t="s">
        <v>26</v>
      </c>
    </row>
    <row r="5" spans="2:15" x14ac:dyDescent="0.3">
      <c r="B5" s="63" t="s">
        <v>67</v>
      </c>
      <c r="C5" s="64">
        <v>0</v>
      </c>
      <c r="D5" s="64">
        <v>0</v>
      </c>
      <c r="E5" s="64">
        <v>0</v>
      </c>
      <c r="F5" s="64">
        <v>0</v>
      </c>
      <c r="G5" s="64">
        <v>0</v>
      </c>
      <c r="H5" s="64">
        <v>0</v>
      </c>
      <c r="I5" s="64">
        <v>0</v>
      </c>
      <c r="J5" s="64">
        <v>0</v>
      </c>
      <c r="K5" s="64">
        <v>0</v>
      </c>
      <c r="L5" s="64"/>
      <c r="M5" s="64"/>
      <c r="N5" s="64"/>
      <c r="O5" s="65">
        <f>SUM(C5:N5)</f>
        <v>0</v>
      </c>
    </row>
    <row r="6" spans="2:15" x14ac:dyDescent="0.3">
      <c r="B6" s="63" t="s">
        <v>68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1</v>
      </c>
      <c r="I6" s="64">
        <v>0</v>
      </c>
      <c r="J6" s="64">
        <v>0</v>
      </c>
      <c r="K6" s="64">
        <v>0</v>
      </c>
      <c r="L6" s="64"/>
      <c r="M6" s="64"/>
      <c r="N6" s="64"/>
      <c r="O6" s="65">
        <f>SUM(C6:N6)</f>
        <v>1</v>
      </c>
    </row>
    <row r="7" spans="2:15" x14ac:dyDescent="0.3">
      <c r="B7" s="63" t="s">
        <v>18</v>
      </c>
      <c r="C7" s="66">
        <f>SUM(C5:C6)</f>
        <v>0</v>
      </c>
      <c r="D7" s="66">
        <v>0</v>
      </c>
      <c r="E7" s="66">
        <v>0</v>
      </c>
      <c r="F7" s="66">
        <v>0</v>
      </c>
      <c r="G7" s="66">
        <v>0</v>
      </c>
      <c r="H7" s="66">
        <f>SUM(H5:H6)</f>
        <v>1</v>
      </c>
      <c r="I7" s="66">
        <f>SUM(I5:I6)</f>
        <v>0</v>
      </c>
      <c r="J7" s="66">
        <f>SUM(J5:J6)</f>
        <v>0</v>
      </c>
      <c r="K7" s="66">
        <f>SUM(K5:K6)</f>
        <v>0</v>
      </c>
      <c r="L7" s="66"/>
      <c r="M7" s="66"/>
      <c r="N7" s="66"/>
      <c r="O7" s="65">
        <f>SUM(O5:O6)</f>
        <v>1</v>
      </c>
    </row>
    <row r="8" spans="2:15" x14ac:dyDescent="0.3">
      <c r="B8" s="81" t="s">
        <v>69</v>
      </c>
      <c r="C8" s="82">
        <f t="shared" ref="C8:F8" si="0">+C7/C17</f>
        <v>0</v>
      </c>
      <c r="D8" s="82">
        <f t="shared" si="0"/>
        <v>0</v>
      </c>
      <c r="E8" s="82">
        <f t="shared" si="0"/>
        <v>0</v>
      </c>
      <c r="F8" s="82">
        <f t="shared" si="0"/>
        <v>0</v>
      </c>
      <c r="G8" s="82">
        <f>+G7/G17</f>
        <v>0</v>
      </c>
      <c r="H8" s="82">
        <f>+H7/H17</f>
        <v>0.1</v>
      </c>
      <c r="I8" s="82">
        <f>+I7/I17</f>
        <v>0</v>
      </c>
      <c r="J8" s="82">
        <f>+J7/J17</f>
        <v>0</v>
      </c>
      <c r="K8" s="82">
        <f>+K7/K17</f>
        <v>0</v>
      </c>
      <c r="L8" s="82"/>
      <c r="M8" s="82"/>
      <c r="N8" s="82"/>
      <c r="O8" s="82">
        <f>+O7/O17</f>
        <v>1.8518518518518517E-2</v>
      </c>
    </row>
    <row r="10" spans="2:15" x14ac:dyDescent="0.3">
      <c r="B10" s="8" t="s">
        <v>16</v>
      </c>
    </row>
    <row r="11" spans="2:15" x14ac:dyDescent="0.3">
      <c r="B11" s="10" t="s">
        <v>17</v>
      </c>
      <c r="C11" s="11" t="s">
        <v>24</v>
      </c>
      <c r="D11" s="11" t="s">
        <v>25</v>
      </c>
      <c r="E11" s="11" t="s">
        <v>28</v>
      </c>
      <c r="F11" s="11" t="s">
        <v>29</v>
      </c>
      <c r="G11" s="11" t="s">
        <v>30</v>
      </c>
      <c r="H11" s="11" t="s">
        <v>31</v>
      </c>
      <c r="I11" s="11" t="s">
        <v>36</v>
      </c>
      <c r="J11" s="11" t="s">
        <v>37</v>
      </c>
      <c r="K11" s="11" t="s">
        <v>38</v>
      </c>
      <c r="L11" s="11" t="s">
        <v>39</v>
      </c>
      <c r="M11" s="11" t="s">
        <v>40</v>
      </c>
      <c r="N11" s="11" t="s">
        <v>41</v>
      </c>
      <c r="O11" s="11" t="s">
        <v>26</v>
      </c>
    </row>
    <row r="12" spans="2:15" x14ac:dyDescent="0.3">
      <c r="B12" s="12" t="s">
        <v>53</v>
      </c>
      <c r="C12" s="13">
        <f>COUNTIF('Compras Enero'!$D$2:$D$6,"Convenio Marco")</f>
        <v>0</v>
      </c>
      <c r="D12" s="13">
        <f>COUNTIF('Compras Febrero'!$D$2:$D$7,"Convenio Marco")</f>
        <v>2</v>
      </c>
      <c r="E12" s="13">
        <f>COUNTIF('Compras Marzo'!$D$2:$D$4,"Convenio Marco")</f>
        <v>0</v>
      </c>
      <c r="F12" s="13">
        <f>COUNTIF('Compras Abril'!$D$2:$D$9,"Convenio Marco")</f>
        <v>0</v>
      </c>
      <c r="G12" s="13">
        <f>COUNTIF('Compras Mayo'!$D$2:$D$5,"Convenio Marco")</f>
        <v>0</v>
      </c>
      <c r="H12" s="13">
        <f>COUNTIF('Compras Junio'!$D$2:$D$11,"Convenio Marco")</f>
        <v>1</v>
      </c>
      <c r="I12" s="13">
        <f>COUNTIF('Compras Julio'!$D$2:$D$5,"Convenio Marco")</f>
        <v>0</v>
      </c>
      <c r="J12" s="13">
        <f>COUNTIF('Compras Agosto'!$D$2:$D$11,"Convenio Marco")</f>
        <v>6</v>
      </c>
      <c r="K12" s="13">
        <f>COUNTIF('Compras Septiembre'!$D$2:$D$5,"Convenio Marco")</f>
        <v>2</v>
      </c>
      <c r="L12" s="13"/>
      <c r="M12" s="13"/>
      <c r="N12" s="13"/>
      <c r="O12" s="14">
        <f>SUM(C12:N12)</f>
        <v>11</v>
      </c>
    </row>
    <row r="13" spans="2:15" x14ac:dyDescent="0.3">
      <c r="B13" s="12" t="s">
        <v>0</v>
      </c>
      <c r="C13" s="13">
        <f>COUNTIF('Compras Enero'!$D$2:$D$6,"Licitaciones")</f>
        <v>0</v>
      </c>
      <c r="D13" s="13">
        <f>COUNTIF('Compras Febrero'!$D$2:$D$7,"Licitaciones")</f>
        <v>0</v>
      </c>
      <c r="E13" s="13">
        <f>COUNTIF('Compras Marzo'!$D$2:$D$4,"Licitaciones")</f>
        <v>1</v>
      </c>
      <c r="F13" s="13">
        <f>COUNTIF('Compras Abril'!$D$2:$D$9,"Licitaciones")</f>
        <v>0</v>
      </c>
      <c r="G13" s="13">
        <f>COUNTIF('Compras Mayo'!$D$2:$D$5,"Licitaciones")</f>
        <v>0</v>
      </c>
      <c r="H13" s="13">
        <f>COUNTIF('Compras Junio'!$D$2:$D$11,"Licitaciones")</f>
        <v>2</v>
      </c>
      <c r="I13" s="13">
        <f>COUNTIF('Compras Julio'!$D$2:$D$5,"Licitaciones")</f>
        <v>1</v>
      </c>
      <c r="J13" s="13">
        <f>COUNTIF('Compras Agosto'!$D$2:$D$11,"Licitaciones")</f>
        <v>0</v>
      </c>
      <c r="K13" s="13">
        <f>COUNTIF('Compras Septiembre'!$D$2:$D$5,"Licitaciones")</f>
        <v>0</v>
      </c>
      <c r="L13" s="13"/>
      <c r="M13" s="13"/>
      <c r="N13" s="13"/>
      <c r="O13" s="14">
        <f>SUM(C13:N13)</f>
        <v>4</v>
      </c>
    </row>
    <row r="14" spans="2:15" x14ac:dyDescent="0.3">
      <c r="B14" s="12" t="s">
        <v>27</v>
      </c>
      <c r="C14" s="13">
        <f>COUNTIF('Compras Enero'!$D$2:$D$6,"Trato Directo")</f>
        <v>0</v>
      </c>
      <c r="D14" s="13">
        <f>COUNTIF('Compras Febrero'!$D$2:$D$7,"Trato Directo")</f>
        <v>1</v>
      </c>
      <c r="E14" s="13">
        <f>COUNTIF('Compras Marzo'!$D$2:$D$4,"Trato Directo")</f>
        <v>0</v>
      </c>
      <c r="F14" s="13">
        <f>COUNTIF('Compras Abril'!$D$2:$D$9,"Trato Directo")</f>
        <v>0</v>
      </c>
      <c r="G14" s="13">
        <f>COUNTIF('Compras Mayo'!$D$2:$D$5,"Trato Directo")</f>
        <v>0</v>
      </c>
      <c r="H14" s="13">
        <f>COUNTIF('Compras Junio'!$D$2:$D$11,"Trato Directo")</f>
        <v>1</v>
      </c>
      <c r="I14" s="13">
        <f>COUNTIF('Compras Julio'!$D$2:$D$5,"Trato Directo")</f>
        <v>0</v>
      </c>
      <c r="J14" s="13">
        <f>COUNTIF('Compras Agosto'!$D$2:$D$11,"Trato Directo")</f>
        <v>1</v>
      </c>
      <c r="K14" s="13">
        <f>COUNTIF('Compras Septiembre'!$D$2:$D$5,"Trato Directo")</f>
        <v>0</v>
      </c>
      <c r="L14" s="13"/>
      <c r="M14" s="13"/>
      <c r="N14" s="13"/>
      <c r="O14" s="14">
        <f t="shared" ref="O14:O16" si="1">SUM(C14:N14)</f>
        <v>3</v>
      </c>
    </row>
    <row r="15" spans="2:15" x14ac:dyDescent="0.3">
      <c r="B15" s="12" t="s">
        <v>55</v>
      </c>
      <c r="C15" s="13">
        <f>COUNTIF('Compras Enero'!$D$2:$D$6,"Compra Ágil")</f>
        <v>5</v>
      </c>
      <c r="D15" s="13">
        <f>COUNTIF('Compras Febrero'!$D$2:$D$7,"Compra Ágil")</f>
        <v>3</v>
      </c>
      <c r="E15" s="13">
        <f>COUNTIF('Compras Marzo'!$D$2:$D$4,"Compra Ágil")</f>
        <v>2</v>
      </c>
      <c r="F15" s="13">
        <f>COUNTIF('Compras Abril'!$D$2:$D$9,"Compra Ágil")</f>
        <v>8</v>
      </c>
      <c r="G15" s="13">
        <f>COUNTIF('Compras Mayo'!$D$2:$D$5,"Compra Ágil")</f>
        <v>4</v>
      </c>
      <c r="H15" s="13">
        <f>COUNTIF('Compras Junio'!$D$2:$D$11,"Compra Ágil")</f>
        <v>6</v>
      </c>
      <c r="I15" s="13">
        <f>COUNTIF('Compras Julio'!$D$2:$D$5,"Compra Ágil")</f>
        <v>3</v>
      </c>
      <c r="J15" s="13">
        <f>COUNTIF('Compras Agosto'!$D$2:$D$11,"Compra Ágil")</f>
        <v>3</v>
      </c>
      <c r="K15" s="13">
        <f>COUNTIF('Compras Septiembre'!$D$2:$D$5,"Compra Ágil")</f>
        <v>2</v>
      </c>
      <c r="L15" s="13"/>
      <c r="M15" s="13"/>
      <c r="N15" s="13"/>
      <c r="O15" s="14">
        <f t="shared" si="1"/>
        <v>36</v>
      </c>
    </row>
    <row r="16" spans="2:15" x14ac:dyDescent="0.3">
      <c r="B16" s="12" t="s">
        <v>1</v>
      </c>
      <c r="C16" s="13">
        <f>COUNTIF('Compras Enero'!$D$2:$D$6,"Compras Coordinadas")</f>
        <v>0</v>
      </c>
      <c r="D16" s="13">
        <f>COUNTIF('Compras Febrero'!$D$2:$D$7,"Compras Coordinadas")</f>
        <v>0</v>
      </c>
      <c r="E16" s="13">
        <f>COUNTIF('Compras Marzo'!$D$2:$D$4,"Compras Coordinadas")</f>
        <v>0</v>
      </c>
      <c r="F16" s="13">
        <f>COUNTIF('Compras Abril'!$D$2:$D$9,"Compras Coordinadas")</f>
        <v>0</v>
      </c>
      <c r="G16" s="13">
        <f>COUNTIF('Compras Mayo'!$D$2:$D$5,"Compras Coordinadas")</f>
        <v>0</v>
      </c>
      <c r="H16" s="13">
        <f>COUNTIF('Compras Junio'!$D$2:$D$11,"Compras Coordinadas")</f>
        <v>0</v>
      </c>
      <c r="I16" s="13">
        <f>COUNTIF('Compras Julio'!$D$2:$D$5,"Compras Coordinadas")</f>
        <v>0</v>
      </c>
      <c r="J16" s="13">
        <f>COUNTIF('Compras Agosto'!$D$2:$D$11,"Compras Coordinadas")</f>
        <v>0</v>
      </c>
      <c r="K16" s="13">
        <f>COUNTIF('Compras Septiembre'!$D$2:$D$5,"Compras Coordinadas")</f>
        <v>0</v>
      </c>
      <c r="L16" s="13"/>
      <c r="M16" s="13"/>
      <c r="N16" s="13"/>
      <c r="O16" s="14">
        <f t="shared" si="1"/>
        <v>0</v>
      </c>
    </row>
    <row r="17" spans="2:21" ht="14.5" x14ac:dyDescent="0.35">
      <c r="B17" s="12" t="s">
        <v>18</v>
      </c>
      <c r="C17" s="15">
        <f t="shared" ref="C17:I17" si="2">SUM(C12:C16)</f>
        <v>5</v>
      </c>
      <c r="D17" s="15">
        <f t="shared" si="2"/>
        <v>6</v>
      </c>
      <c r="E17" s="15">
        <f t="shared" si="2"/>
        <v>3</v>
      </c>
      <c r="F17" s="15">
        <f t="shared" si="2"/>
        <v>8</v>
      </c>
      <c r="G17" s="15">
        <f>SUM(G12:G16)</f>
        <v>4</v>
      </c>
      <c r="H17" s="15">
        <f t="shared" si="2"/>
        <v>10</v>
      </c>
      <c r="I17" s="15">
        <f t="shared" si="2"/>
        <v>4</v>
      </c>
      <c r="J17" s="15">
        <f t="shared" ref="J17:K17" si="3">SUM(J12:J16)</f>
        <v>10</v>
      </c>
      <c r="K17" s="15">
        <f t="shared" si="3"/>
        <v>4</v>
      </c>
      <c r="L17" s="15">
        <f>SUM(L12:L16)</f>
        <v>0</v>
      </c>
      <c r="M17" s="32">
        <f>SUM(M12:M16)</f>
        <v>0</v>
      </c>
      <c r="N17" s="32">
        <f>SUM(N12:N16)</f>
        <v>0</v>
      </c>
      <c r="O17" s="14">
        <f>SUM(O12:O16)</f>
        <v>54</v>
      </c>
      <c r="P17" s="22">
        <f>+O17-'OC Acumulado'!U68</f>
        <v>0</v>
      </c>
      <c r="Q17"/>
      <c r="R17"/>
      <c r="S17"/>
      <c r="U17"/>
    </row>
    <row r="19" spans="2:21" x14ac:dyDescent="0.3">
      <c r="B19" s="8" t="s">
        <v>58</v>
      </c>
    </row>
    <row r="20" spans="2:21" x14ac:dyDescent="0.3">
      <c r="B20" s="10" t="s">
        <v>17</v>
      </c>
      <c r="C20" s="11" t="s">
        <v>24</v>
      </c>
      <c r="D20" s="11" t="s">
        <v>25</v>
      </c>
      <c r="E20" s="11" t="s">
        <v>28</v>
      </c>
      <c r="F20" s="11" t="s">
        <v>29</v>
      </c>
      <c r="G20" s="11" t="s">
        <v>30</v>
      </c>
      <c r="H20" s="11" t="s">
        <v>31</v>
      </c>
      <c r="I20" s="11" t="s">
        <v>36</v>
      </c>
      <c r="J20" s="11" t="s">
        <v>37</v>
      </c>
      <c r="K20" s="11" t="s">
        <v>38</v>
      </c>
      <c r="L20" s="11" t="s">
        <v>39</v>
      </c>
      <c r="M20" s="11" t="s">
        <v>40</v>
      </c>
      <c r="N20" s="11" t="s">
        <v>41</v>
      </c>
      <c r="O20" s="11" t="s">
        <v>26</v>
      </c>
    </row>
    <row r="21" spans="2:21" x14ac:dyDescent="0.3">
      <c r="B21" s="12" t="s">
        <v>53</v>
      </c>
      <c r="C21" s="50">
        <f>SUMIFS('Compras Enero'!$S$2:$S$6,'Compras Enero'!$D$2:$D$6,"Convenio Marco")</f>
        <v>0</v>
      </c>
      <c r="D21" s="50">
        <f>SUMIFS('Compras Febrero'!$S$2:$S$7,'Compras Febrero'!$D$2:$D$7,"Convenio Marco")</f>
        <v>112552</v>
      </c>
      <c r="E21" s="50">
        <f>SUMIFS('Compras Marzo'!$S$2:$S$4,'Compras Marzo'!$D$2:$D$4,"Convenio Marco")</f>
        <v>0</v>
      </c>
      <c r="F21" s="50">
        <f>SUMIFS('Compras Abril'!$S$2:$S$9,'Compras Abril'!$D$2:$D$9,"Convenio Marco")</f>
        <v>0</v>
      </c>
      <c r="G21" s="50">
        <f>SUMIFS('Compras Mayo'!$S$2:$S$5,'Compras Mayo'!$D$2:$D$5,"Convenio Marco")</f>
        <v>0</v>
      </c>
      <c r="H21" s="50">
        <f>SUMIFS('Compras Junio'!$S$2:$S$11,'Compras Junio'!$D$2:$D$11,"Convenio Marco")</f>
        <v>186875</v>
      </c>
      <c r="I21" s="50">
        <f>SUMIFS('Compras Julio'!$S$2:$S$5,'Compras Julio'!$D$2:$D$5,"Convenio Marco")</f>
        <v>0</v>
      </c>
      <c r="J21" s="50">
        <f>SUMIFS('Compras Agosto'!$S$2:$S$11,'Compras Agosto'!$D$2:$D$11,"Convenio Marco")</f>
        <v>647355</v>
      </c>
      <c r="K21" s="50">
        <f>SUMIFS('Compras Septiembre'!$S$2:$S$5,'Compras Septiembre'!$D$2:$D$5,"Convenio Marco")</f>
        <v>102960</v>
      </c>
      <c r="L21" s="50"/>
      <c r="M21" s="50"/>
      <c r="N21" s="50"/>
      <c r="O21" s="51">
        <f t="shared" ref="O21:O26" si="4">SUM(C21:N21)</f>
        <v>1049742</v>
      </c>
      <c r="R21" s="21"/>
    </row>
    <row r="22" spans="2:21" x14ac:dyDescent="0.3">
      <c r="B22" s="12" t="s">
        <v>0</v>
      </c>
      <c r="C22" s="50">
        <f>SUMIFS('Compras Enero'!$S$2:$S$6,'Compras Enero'!$D$2:$D$6,"Licitaciones")</f>
        <v>0</v>
      </c>
      <c r="D22" s="50">
        <f>SUMIFS('Compras Febrero'!$S$2:$S$7,'Compras Febrero'!$D$2:$D$7,"Licitaciones")</f>
        <v>0</v>
      </c>
      <c r="E22" s="50">
        <f>SUMIFS('Compras Marzo'!$S$2:$S$4,'Compras Marzo'!$D$2:$D$4,"Licitaciones")</f>
        <v>29999999.960000001</v>
      </c>
      <c r="F22" s="50">
        <f>SUMIFS('Compras Abril'!$S$2:$S$9,'Compras Abril'!$D$2:$D$9,"Licitaciones")</f>
        <v>0</v>
      </c>
      <c r="G22" s="50">
        <f>SUMIFS('Compras Mayo'!$S$2:$S$5,'Compras Mayo'!$D$2:$D$5,"Licitaciones")</f>
        <v>0</v>
      </c>
      <c r="H22" s="50">
        <f>SUMIFS('Compras Junio'!$S$2:$S$11,'Compras Junio'!$D$2:$D$11,"Licitaciones")</f>
        <v>66474018.800000004</v>
      </c>
      <c r="I22" s="50">
        <f>SUMIFS('Compras Julio'!$S$2:$S$5,'Compras Julio'!$D$2:$D$5,"Licitaciones")</f>
        <v>6211800</v>
      </c>
      <c r="J22" s="50">
        <f>SUMIFS('Compras Agosto'!$S$2:$S$11,'Compras Agosto'!$D$2:$D$11,"Licitaciones")</f>
        <v>0</v>
      </c>
      <c r="K22" s="50">
        <f>SUMIFS('Compras Septiembre'!$S$2:$S$5,'Compras Septiembre'!$D$2:$D$5,"Licitaciones")</f>
        <v>0</v>
      </c>
      <c r="L22" s="50"/>
      <c r="M22" s="50"/>
      <c r="N22" s="50"/>
      <c r="O22" s="51">
        <f t="shared" si="4"/>
        <v>102685818.76000001</v>
      </c>
    </row>
    <row r="23" spans="2:21" x14ac:dyDescent="0.3">
      <c r="B23" s="12" t="s">
        <v>27</v>
      </c>
      <c r="C23" s="50">
        <f>SUMIFS('Compras Enero'!$S$2:$S$6,'Compras Enero'!$D$2:$D$6,"Trato Directo")</f>
        <v>0</v>
      </c>
      <c r="D23" s="50">
        <f>SUMIFS('Compras Febrero'!$S$2:$S$7,'Compras Febrero'!$D$2:$D$7,"Trato Directo")</f>
        <v>236281700</v>
      </c>
      <c r="E23" s="50">
        <f>SUMIFS('Compras Marzo'!$S$2:$S$4,'Compras Marzo'!$D$2:$D$4,"Trato Directo")</f>
        <v>0</v>
      </c>
      <c r="F23" s="50">
        <f>SUMIFS('Compras Abril'!$S$2:$S$9,'Compras Abril'!$D$2:$D$9,"Trato Directo")</f>
        <v>0</v>
      </c>
      <c r="G23" s="50">
        <f>SUMIFS('Compras Mayo'!$S$2:$S$5,'Compras Mayo'!$D$2:$D$5,"Trato Directo")</f>
        <v>0</v>
      </c>
      <c r="H23" s="50">
        <f>SUMIFS('Compras Junio'!$S$2:$S$11,'Compras Junio'!$D$2:$D$11,"Trato Directo")</f>
        <v>4118385.915</v>
      </c>
      <c r="I23" s="50">
        <f>SUMIFS('Compras Julio'!$S$2:$S$5,'Compras Julio'!$D$2:$D$5,"Trato Directo")</f>
        <v>0</v>
      </c>
      <c r="J23" s="50">
        <f>SUMIFS('Compras Agosto'!$S$2:$S$11,'Compras Agosto'!$D$2:$D$11,"Trato Directo")</f>
        <v>531444872.85969794</v>
      </c>
      <c r="K23" s="50">
        <f>SUMIFS('Compras Septiembre'!$S$2:$S$5,'Compras Septiembre'!$D$2:$D$5,"Trato Directo")</f>
        <v>0</v>
      </c>
      <c r="L23" s="50"/>
      <c r="M23" s="50"/>
      <c r="N23" s="50"/>
      <c r="O23" s="51">
        <f t="shared" si="4"/>
        <v>771844958.7746979</v>
      </c>
      <c r="R23" s="24"/>
    </row>
    <row r="24" spans="2:21" x14ac:dyDescent="0.3">
      <c r="B24" s="12" t="s">
        <v>55</v>
      </c>
      <c r="C24" s="50">
        <f>SUMIFS('Compras Enero'!$S$2:$S$6,'Compras Enero'!$D$2:$D$6,"Compra Ágil")</f>
        <v>4193492.17</v>
      </c>
      <c r="D24" s="50">
        <f>SUMIFS('Compras Febrero'!$S$2:$S$7,'Compras Febrero'!$D$2:$D$7,"Compra Ágil")</f>
        <v>3519806</v>
      </c>
      <c r="E24" s="50">
        <f>SUMIFS('Compras Marzo'!$S$2:$S$4,'Compras Marzo'!$D$2:$D$4,"Compra Ágil")</f>
        <v>952595</v>
      </c>
      <c r="F24" s="50">
        <f>SUMIFS('Compras Abril'!$S$2:$S$9,'Compras Abril'!$D$2:$D$9,"Compra Ágil")</f>
        <v>14815462.029999999</v>
      </c>
      <c r="G24" s="50">
        <f>SUMIFS('Compras Mayo'!$S$2:$S$5,'Compras Mayo'!$D$2:$D$5,"Compra Ágil")</f>
        <v>3337854.8</v>
      </c>
      <c r="H24" s="50">
        <f>SUMIFS('Compras Junio'!$S$2:$S$11,'Compras Junio'!$D$2:$D$11,"Compra Ágil")</f>
        <v>13455170.540000001</v>
      </c>
      <c r="I24" s="50">
        <f>SUMIFS('Compras Julio'!$S$2:$S$5,'Compras Julio'!$D$2:$D$5,"Compra Ágil")</f>
        <v>2453440.85</v>
      </c>
      <c r="J24" s="50">
        <f>SUMIFS('Compras Agosto'!$S$2:$S$11,'Compras Agosto'!$D$2:$D$11,"Compra Ágil")</f>
        <v>1022686</v>
      </c>
      <c r="K24" s="50">
        <f>SUMIFS('Compras Septiembre'!$S$2:$S$5,'Compras Septiembre'!$D$2:$D$5,"Compra Ágil")</f>
        <v>3067459</v>
      </c>
      <c r="L24" s="50"/>
      <c r="M24" s="50"/>
      <c r="N24" s="50"/>
      <c r="O24" s="51">
        <f t="shared" si="4"/>
        <v>46817966.390000001</v>
      </c>
    </row>
    <row r="25" spans="2:21" x14ac:dyDescent="0.3">
      <c r="B25" s="12" t="s">
        <v>1</v>
      </c>
      <c r="C25" s="50">
        <f>SUMIFS('Compras Enero'!$S$2:$S$6,'Compras Enero'!$D$2:$D$6,"Compras Coordinadas")</f>
        <v>0</v>
      </c>
      <c r="D25" s="50">
        <f>SUMIFS('Compras Febrero'!$S$2:$S$7,'Compras Febrero'!$D$2:$D$7,"Compras Coordinadas")</f>
        <v>0</v>
      </c>
      <c r="E25" s="50">
        <f>SUMIFS('Compras Marzo'!$S$2:$S$4,'Compras Marzo'!$D$2:$D$4,"Compras Coordinadas")</f>
        <v>0</v>
      </c>
      <c r="F25" s="50">
        <f>SUMIFS('Compras Abril'!$S$2:$S$9,'Compras Abril'!$D$2:$D$9,"Compras Coordinadas")</f>
        <v>0</v>
      </c>
      <c r="G25" s="50">
        <f>SUMIFS('Compras Mayo'!$S$2:$S$5,'Compras Mayo'!$D$2:$D$5,"Compras Coordinadas")</f>
        <v>0</v>
      </c>
      <c r="H25" s="50">
        <f>SUMIFS('Compras Junio'!$S$2:$S$11,'Compras Junio'!$D$2:$D$11,"Compras Coordinadas")</f>
        <v>0</v>
      </c>
      <c r="I25" s="50">
        <f>SUMIFS('Compras Julio'!$S$2:$S$5,'Compras Julio'!$D$2:$D$5,"Compras Coordinadas")</f>
        <v>0</v>
      </c>
      <c r="J25" s="50">
        <f>SUMIFS('Compras Agosto'!$S$2:$S$11,'Compras Agosto'!$D$2:$D$11,"Compras Coordinadas")</f>
        <v>0</v>
      </c>
      <c r="K25" s="50">
        <f>SUMIFS('Compras Septiembre'!$S$2:$S$5,'Compras Septiembre'!$D$2:$D$5,"Compras Coordinadas")</f>
        <v>0</v>
      </c>
      <c r="L25" s="50"/>
      <c r="M25" s="50"/>
      <c r="N25" s="50"/>
      <c r="O25" s="51">
        <f t="shared" si="4"/>
        <v>0</v>
      </c>
    </row>
    <row r="26" spans="2:21" x14ac:dyDescent="0.3">
      <c r="B26" s="12" t="s">
        <v>18</v>
      </c>
      <c r="C26" s="51">
        <f>SUM(C21:C25)</f>
        <v>4193492.17</v>
      </c>
      <c r="D26" s="52">
        <f t="shared" ref="D26:N26" si="5">SUM(D21:D25)</f>
        <v>239914058</v>
      </c>
      <c r="E26" s="52">
        <f t="shared" si="5"/>
        <v>30952594.960000001</v>
      </c>
      <c r="F26" s="52">
        <f t="shared" si="5"/>
        <v>14815462.029999999</v>
      </c>
      <c r="G26" s="52">
        <f t="shared" si="5"/>
        <v>3337854.8</v>
      </c>
      <c r="H26" s="52">
        <f t="shared" si="5"/>
        <v>84234450.25500001</v>
      </c>
      <c r="I26" s="52">
        <f t="shared" si="5"/>
        <v>8665240.8499999996</v>
      </c>
      <c r="J26" s="52">
        <f t="shared" si="5"/>
        <v>533114913.85969794</v>
      </c>
      <c r="K26" s="52">
        <f t="shared" si="5"/>
        <v>3170419</v>
      </c>
      <c r="L26" s="52">
        <f t="shared" si="5"/>
        <v>0</v>
      </c>
      <c r="M26" s="52">
        <f>SUM(M21:M25)</f>
        <v>0</v>
      </c>
      <c r="N26" s="52">
        <f t="shared" si="5"/>
        <v>0</v>
      </c>
      <c r="O26" s="53">
        <f t="shared" si="4"/>
        <v>922398485.92469788</v>
      </c>
      <c r="P26" s="22">
        <f>+O26-'OC Acumulado'!U67</f>
        <v>0</v>
      </c>
    </row>
    <row r="27" spans="2:21" x14ac:dyDescent="0.3">
      <c r="C27" s="54">
        <f>+'Compras Enero'!S7</f>
        <v>4193492.17</v>
      </c>
      <c r="D27" s="54">
        <f>+'Compras Febrero'!S8</f>
        <v>239914058</v>
      </c>
      <c r="E27" s="54">
        <f>+'Compras Marzo'!S5</f>
        <v>30952594.960000001</v>
      </c>
      <c r="F27" s="54">
        <f>+'Compras Abril'!S10</f>
        <v>14815462.029999999</v>
      </c>
      <c r="G27" s="54">
        <f>+'Compras Mayo'!S6</f>
        <v>3337854.8</v>
      </c>
      <c r="H27" s="54">
        <f>+'Compras Junio'!S12</f>
        <v>84234450.25500001</v>
      </c>
      <c r="I27" s="54">
        <f>+'Compras Julio'!S6</f>
        <v>8665240.8499999996</v>
      </c>
      <c r="J27" s="54">
        <f>+'Compras Agosto'!S12</f>
        <v>533114913.85969794</v>
      </c>
      <c r="K27" s="54">
        <f>+'Compras Septiembre'!S6</f>
        <v>3170419</v>
      </c>
      <c r="L27" s="54"/>
      <c r="M27" s="54"/>
      <c r="N27" s="54"/>
      <c r="O27" s="54">
        <f>+'OC Acumulado'!S67</f>
        <v>922398485.92469788</v>
      </c>
    </row>
    <row r="28" spans="2:21" x14ac:dyDescent="0.3">
      <c r="C28" s="22"/>
      <c r="D28" s="22"/>
      <c r="E28" s="22"/>
      <c r="F28" s="22"/>
      <c r="G28" s="22"/>
    </row>
    <row r="29" spans="2:21" x14ac:dyDescent="0.3">
      <c r="B29" s="10" t="s">
        <v>23</v>
      </c>
      <c r="C29" s="11" t="s">
        <v>24</v>
      </c>
      <c r="D29" s="11" t="s">
        <v>25</v>
      </c>
      <c r="E29" s="11" t="s">
        <v>28</v>
      </c>
      <c r="F29" s="11" t="s">
        <v>29</v>
      </c>
      <c r="G29" s="11" t="s">
        <v>30</v>
      </c>
      <c r="H29" s="11" t="s">
        <v>31</v>
      </c>
      <c r="I29" s="11" t="s">
        <v>36</v>
      </c>
      <c r="J29" s="11" t="s">
        <v>37</v>
      </c>
      <c r="K29" s="11" t="s">
        <v>38</v>
      </c>
      <c r="L29" s="11" t="s">
        <v>39</v>
      </c>
      <c r="M29" s="11" t="s">
        <v>40</v>
      </c>
      <c r="N29" s="11" t="s">
        <v>41</v>
      </c>
      <c r="O29" s="11" t="s">
        <v>26</v>
      </c>
    </row>
    <row r="30" spans="2:21" x14ac:dyDescent="0.3">
      <c r="B30" s="12" t="s">
        <v>19</v>
      </c>
      <c r="C30" s="16">
        <v>691050</v>
      </c>
      <c r="D30" s="16">
        <v>681966</v>
      </c>
      <c r="E30" s="16">
        <v>1061182</v>
      </c>
      <c r="F30" s="16">
        <v>688258</v>
      </c>
      <c r="G30" s="16">
        <v>674743</v>
      </c>
      <c r="H30" s="16">
        <v>746969</v>
      </c>
      <c r="I30" s="16">
        <v>618801</v>
      </c>
      <c r="J30" s="18">
        <v>727989</v>
      </c>
      <c r="K30" s="18">
        <v>716759</v>
      </c>
      <c r="L30" s="23"/>
      <c r="M30" s="23"/>
      <c r="N30" s="23"/>
      <c r="O30" s="23">
        <f>SUM(C30:N30)</f>
        <v>6607717</v>
      </c>
      <c r="R30" s="21"/>
    </row>
    <row r="31" spans="2:21" x14ac:dyDescent="0.3">
      <c r="B31" s="12" t="s">
        <v>20</v>
      </c>
      <c r="C31" s="17">
        <f>+C30</f>
        <v>691050</v>
      </c>
      <c r="D31" s="17">
        <f t="shared" ref="D31:K31" si="6">+D30+C31</f>
        <v>1373016</v>
      </c>
      <c r="E31" s="17">
        <f t="shared" si="6"/>
        <v>2434198</v>
      </c>
      <c r="F31" s="17">
        <f t="shared" si="6"/>
        <v>3122456</v>
      </c>
      <c r="G31" s="17">
        <f t="shared" si="6"/>
        <v>3797199</v>
      </c>
      <c r="H31" s="17">
        <f t="shared" si="6"/>
        <v>4544168</v>
      </c>
      <c r="I31" s="96">
        <f t="shared" si="6"/>
        <v>5162969</v>
      </c>
      <c r="J31" s="96">
        <f t="shared" si="6"/>
        <v>5890958</v>
      </c>
      <c r="K31" s="96">
        <f t="shared" si="6"/>
        <v>6607717</v>
      </c>
      <c r="L31" s="17"/>
      <c r="M31" s="17"/>
      <c r="N31" s="17"/>
      <c r="O31" s="17">
        <f>MAX(C31:N31)</f>
        <v>6607717</v>
      </c>
    </row>
    <row r="32" spans="2:21" x14ac:dyDescent="0.3">
      <c r="B32" s="12" t="s">
        <v>21</v>
      </c>
      <c r="C32" s="25">
        <f t="shared" ref="C32:I32" si="7">C31/$C$47</f>
        <v>8.0957672861413532E-2</v>
      </c>
      <c r="D32" s="25">
        <f t="shared" si="7"/>
        <v>0.16085113980390214</v>
      </c>
      <c r="E32" s="25">
        <f t="shared" si="7"/>
        <v>0.28517040064236615</v>
      </c>
      <c r="F32" s="25">
        <f t="shared" si="7"/>
        <v>0.36580098599545313</v>
      </c>
      <c r="G32" s="25">
        <f t="shared" si="7"/>
        <v>0.44484826630733904</v>
      </c>
      <c r="H32" s="25">
        <f t="shared" si="7"/>
        <v>0.53235694431850633</v>
      </c>
      <c r="I32" s="97">
        <f t="shared" si="7"/>
        <v>0.6048505249918521</v>
      </c>
      <c r="J32" s="97">
        <f t="shared" ref="J32:K32" si="8">J31/$C$47</f>
        <v>0.69013566399584247</v>
      </c>
      <c r="K32" s="97">
        <f t="shared" si="8"/>
        <v>0.77410518956197216</v>
      </c>
      <c r="L32" s="25"/>
      <c r="M32" s="25"/>
      <c r="N32" s="25"/>
      <c r="O32" s="25"/>
    </row>
    <row r="33" spans="2:15" x14ac:dyDescent="0.3">
      <c r="C33" s="19"/>
      <c r="J33" s="28"/>
    </row>
    <row r="34" spans="2:15" x14ac:dyDescent="0.3">
      <c r="B34" s="10" t="s">
        <v>63</v>
      </c>
      <c r="C34" s="11" t="s">
        <v>24</v>
      </c>
      <c r="D34" s="11" t="s">
        <v>25</v>
      </c>
      <c r="E34" s="11" t="s">
        <v>28</v>
      </c>
      <c r="F34" s="11" t="s">
        <v>29</v>
      </c>
      <c r="G34" s="11" t="s">
        <v>30</v>
      </c>
      <c r="H34" s="11" t="s">
        <v>31</v>
      </c>
      <c r="I34" s="11" t="s">
        <v>36</v>
      </c>
      <c r="J34" s="11" t="s">
        <v>37</v>
      </c>
      <c r="K34" s="11" t="s">
        <v>38</v>
      </c>
      <c r="L34" s="11" t="s">
        <v>39</v>
      </c>
      <c r="M34" s="11" t="s">
        <v>40</v>
      </c>
      <c r="N34" s="11" t="s">
        <v>41</v>
      </c>
      <c r="O34" s="11" t="s">
        <v>26</v>
      </c>
    </row>
    <row r="35" spans="2:15" x14ac:dyDescent="0.3">
      <c r="B35" s="12" t="s">
        <v>59</v>
      </c>
      <c r="C35" s="16">
        <v>526896</v>
      </c>
      <c r="D35" s="16">
        <v>566206</v>
      </c>
      <c r="E35" s="16">
        <v>785533</v>
      </c>
      <c r="F35" s="16">
        <v>571865</v>
      </c>
      <c r="G35" s="16">
        <v>562572</v>
      </c>
      <c r="H35" s="16">
        <v>619400</v>
      </c>
      <c r="I35" s="16">
        <v>558700</v>
      </c>
      <c r="J35" s="16">
        <v>560992</v>
      </c>
      <c r="K35" s="16">
        <v>608633</v>
      </c>
      <c r="L35" s="16"/>
      <c r="M35" s="16"/>
      <c r="N35" s="16"/>
      <c r="O35" s="16">
        <f>SUM(C35:N35)</f>
        <v>5360797</v>
      </c>
    </row>
    <row r="36" spans="2:15" x14ac:dyDescent="0.3">
      <c r="B36" s="12" t="s">
        <v>60</v>
      </c>
      <c r="C36" s="16">
        <v>102162</v>
      </c>
      <c r="D36" s="16">
        <v>103103</v>
      </c>
      <c r="E36" s="16">
        <v>124944</v>
      </c>
      <c r="F36" s="16">
        <v>109060</v>
      </c>
      <c r="G36" s="16">
        <v>103394</v>
      </c>
      <c r="H36" s="16">
        <v>81528</v>
      </c>
      <c r="I36" s="16">
        <v>47547</v>
      </c>
      <c r="J36" s="16">
        <v>162362</v>
      </c>
      <c r="K36" s="16">
        <v>102581</v>
      </c>
      <c r="L36" s="16"/>
      <c r="M36" s="16"/>
      <c r="N36" s="16"/>
      <c r="O36" s="16">
        <f t="shared" ref="O36:O39" si="9">SUM(C36:N36)</f>
        <v>936681</v>
      </c>
    </row>
    <row r="37" spans="2:15" x14ac:dyDescent="0.3">
      <c r="B37" s="12" t="s">
        <v>61</v>
      </c>
      <c r="C37" s="16">
        <v>34798</v>
      </c>
      <c r="D37" s="16">
        <v>0</v>
      </c>
      <c r="E37" s="16">
        <v>1775</v>
      </c>
      <c r="F37" s="16">
        <v>0</v>
      </c>
      <c r="G37" s="16">
        <v>0</v>
      </c>
      <c r="H37" s="16">
        <v>34033</v>
      </c>
      <c r="I37" s="16">
        <v>0</v>
      </c>
      <c r="J37" s="16">
        <v>0</v>
      </c>
      <c r="K37" s="16">
        <v>0</v>
      </c>
      <c r="L37" s="16"/>
      <c r="M37" s="16"/>
      <c r="N37" s="16"/>
      <c r="O37" s="16">
        <f t="shared" si="9"/>
        <v>70606</v>
      </c>
    </row>
    <row r="38" spans="2:15" x14ac:dyDescent="0.3">
      <c r="B38" s="12" t="s">
        <v>64</v>
      </c>
      <c r="C38" s="16">
        <v>0</v>
      </c>
      <c r="D38" s="16">
        <v>9150</v>
      </c>
      <c r="E38" s="16">
        <v>0</v>
      </c>
      <c r="F38" s="16">
        <v>0</v>
      </c>
      <c r="G38" s="16">
        <v>0</v>
      </c>
      <c r="H38" s="16">
        <v>0</v>
      </c>
      <c r="I38" s="16">
        <v>5412</v>
      </c>
      <c r="J38" s="16">
        <v>2600</v>
      </c>
      <c r="K38" s="16">
        <v>0</v>
      </c>
      <c r="L38" s="16"/>
      <c r="M38" s="16"/>
      <c r="N38" s="16"/>
      <c r="O38" s="16">
        <f t="shared" si="9"/>
        <v>17162</v>
      </c>
    </row>
    <row r="39" spans="2:15" x14ac:dyDescent="0.3">
      <c r="B39" s="12" t="s">
        <v>62</v>
      </c>
      <c r="C39" s="16">
        <v>27194</v>
      </c>
      <c r="D39" s="16">
        <v>3507</v>
      </c>
      <c r="E39" s="16">
        <v>148930</v>
      </c>
      <c r="F39" s="16">
        <v>7333</v>
      </c>
      <c r="G39" s="16">
        <v>8777</v>
      </c>
      <c r="H39" s="16">
        <v>12008</v>
      </c>
      <c r="I39" s="16">
        <v>7142</v>
      </c>
      <c r="J39" s="16">
        <v>2035</v>
      </c>
      <c r="K39" s="16">
        <v>5545</v>
      </c>
      <c r="L39" s="16"/>
      <c r="M39" s="16"/>
      <c r="N39" s="16"/>
      <c r="O39" s="16">
        <f t="shared" si="9"/>
        <v>222471</v>
      </c>
    </row>
    <row r="40" spans="2:15" x14ac:dyDescent="0.3">
      <c r="B40" s="12" t="s">
        <v>19</v>
      </c>
      <c r="C40" s="58">
        <f t="shared" ref="C40:O40" si="10">SUM(C35:C39)</f>
        <v>691050</v>
      </c>
      <c r="D40" s="58">
        <f t="shared" si="10"/>
        <v>681966</v>
      </c>
      <c r="E40" s="58">
        <f t="shared" si="10"/>
        <v>1061182</v>
      </c>
      <c r="F40" s="58">
        <f t="shared" si="10"/>
        <v>688258</v>
      </c>
      <c r="G40" s="58">
        <f t="shared" si="10"/>
        <v>674743</v>
      </c>
      <c r="H40" s="58">
        <f t="shared" si="10"/>
        <v>746969</v>
      </c>
      <c r="I40" s="58">
        <f t="shared" si="10"/>
        <v>618801</v>
      </c>
      <c r="J40" s="58">
        <f t="shared" si="10"/>
        <v>727989</v>
      </c>
      <c r="K40" s="58">
        <f t="shared" si="10"/>
        <v>716759</v>
      </c>
      <c r="L40" s="58">
        <f t="shared" si="10"/>
        <v>0</v>
      </c>
      <c r="M40" s="58">
        <f t="shared" si="10"/>
        <v>0</v>
      </c>
      <c r="N40" s="58">
        <f t="shared" si="10"/>
        <v>0</v>
      </c>
      <c r="O40" s="94">
        <f t="shared" si="10"/>
        <v>6607717</v>
      </c>
    </row>
    <row r="41" spans="2:15" x14ac:dyDescent="0.3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</row>
    <row r="42" spans="2:15" x14ac:dyDescent="0.3">
      <c r="C42" s="19"/>
      <c r="J42" s="28"/>
      <c r="O42" s="59"/>
    </row>
    <row r="43" spans="2:15" x14ac:dyDescent="0.3">
      <c r="B43" s="12" t="s">
        <v>95</v>
      </c>
      <c r="C43" s="38">
        <v>8765234</v>
      </c>
      <c r="M43" s="28"/>
      <c r="O43" s="21">
        <f>+K31-O40</f>
        <v>0</v>
      </c>
    </row>
    <row r="44" spans="2:15" x14ac:dyDescent="0.3">
      <c r="B44" s="12" t="s">
        <v>161</v>
      </c>
      <c r="C44" s="20">
        <v>33665</v>
      </c>
      <c r="E44" s="67"/>
      <c r="F44" s="67"/>
      <c r="G44" s="67"/>
      <c r="H44" s="67"/>
      <c r="I44" s="68">
        <v>8254283</v>
      </c>
      <c r="J44" s="67" t="s">
        <v>65</v>
      </c>
      <c r="K44" s="67"/>
    </row>
    <row r="45" spans="2:15" ht="14.5" x14ac:dyDescent="0.35">
      <c r="B45" s="12" t="s">
        <v>181</v>
      </c>
      <c r="C45" s="20">
        <v>-262957</v>
      </c>
      <c r="E45" s="67"/>
      <c r="F45" s="67"/>
      <c r="G45" s="67"/>
      <c r="H45" s="67"/>
      <c r="I45" s="69" t="e">
        <f>+#REF!/I44</f>
        <v>#REF!</v>
      </c>
      <c r="J45" s="69">
        <v>0.41666666666666669</v>
      </c>
      <c r="K45" s="67"/>
    </row>
    <row r="46" spans="2:15" ht="14.5" x14ac:dyDescent="0.35">
      <c r="B46" s="12"/>
      <c r="C46" s="20"/>
      <c r="E46" s="67"/>
      <c r="F46" s="70"/>
      <c r="G46" s="67"/>
      <c r="H46" s="67"/>
      <c r="I46" s="71"/>
      <c r="J46" s="72"/>
      <c r="K46" s="67"/>
    </row>
    <row r="47" spans="2:15" ht="14.5" x14ac:dyDescent="0.35">
      <c r="B47" s="12" t="s">
        <v>47</v>
      </c>
      <c r="C47" s="27">
        <f>+C43+C44+C45+C46</f>
        <v>8535942</v>
      </c>
      <c r="D47" s="21"/>
      <c r="E47" s="73">
        <f>+C47-O31</f>
        <v>1928225</v>
      </c>
      <c r="F47" s="67"/>
      <c r="G47" s="67"/>
      <c r="H47" s="67"/>
      <c r="I47" s="93">
        <f>+O40/C47</f>
        <v>0.77410518956197216</v>
      </c>
      <c r="J47" s="71"/>
      <c r="K47" s="99">
        <f>+K30-K40</f>
        <v>0</v>
      </c>
    </row>
    <row r="48" spans="2:15" ht="14.5" x14ac:dyDescent="0.35">
      <c r="F48" s="22"/>
      <c r="I48"/>
      <c r="J48"/>
      <c r="K48" s="24"/>
    </row>
    <row r="49" spans="9:9" x14ac:dyDescent="0.3">
      <c r="I49" s="24">
        <f>7/12</f>
        <v>0.58333333333333337</v>
      </c>
    </row>
  </sheetData>
  <mergeCells count="1">
    <mergeCell ref="B2:C2"/>
  </mergeCells>
  <phoneticPr fontId="3" type="noConversion"/>
  <pageMargins left="0.7" right="0.7" top="0.75" bottom="0.75" header="0.3" footer="0.3"/>
  <pageSetup orientation="portrait" r:id="rId1"/>
  <ignoredErrors>
    <ignoredError sqref="I45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D2DC-4FB1-47EA-BEE9-A4696DFEFB95}">
  <dimension ref="B4:T52"/>
  <sheetViews>
    <sheetView tabSelected="1" workbookViewId="0">
      <selection activeCell="K51" sqref="K51"/>
    </sheetView>
  </sheetViews>
  <sheetFormatPr baseColWidth="10" defaultColWidth="10.54296875" defaultRowHeight="12" x14ac:dyDescent="0.3"/>
  <cols>
    <col min="1" max="1" width="10.54296875" style="1"/>
    <col min="2" max="2" width="38" style="1" bestFit="1" customWidth="1"/>
    <col min="3" max="16" width="9.81640625" style="1" customWidth="1"/>
    <col min="17" max="16384" width="10.54296875" style="1"/>
  </cols>
  <sheetData>
    <row r="4" spans="2:20" x14ac:dyDescent="0.3">
      <c r="B4" s="2" t="s">
        <v>46</v>
      </c>
      <c r="C4" s="6">
        <v>2009</v>
      </c>
      <c r="D4" s="6">
        <v>2010</v>
      </c>
      <c r="E4" s="6">
        <v>2011</v>
      </c>
      <c r="F4" s="6">
        <v>2012</v>
      </c>
      <c r="G4" s="6">
        <v>2013</v>
      </c>
      <c r="H4" s="6">
        <v>2014</v>
      </c>
      <c r="I4" s="6">
        <v>2015</v>
      </c>
      <c r="J4" s="6">
        <v>2016</v>
      </c>
      <c r="K4" s="6">
        <v>2017</v>
      </c>
      <c r="L4" s="6">
        <v>2018</v>
      </c>
      <c r="M4" s="6">
        <v>2019</v>
      </c>
      <c r="N4" s="6">
        <v>2020</v>
      </c>
      <c r="O4" s="6">
        <v>2021</v>
      </c>
      <c r="P4" s="6">
        <v>2022</v>
      </c>
      <c r="Q4" s="6">
        <v>2023</v>
      </c>
      <c r="R4" s="6">
        <v>2024</v>
      </c>
      <c r="S4" s="6">
        <v>2025</v>
      </c>
      <c r="T4" s="6">
        <v>2026</v>
      </c>
    </row>
    <row r="5" spans="2:20" ht="15" customHeight="1" x14ac:dyDescent="0.3">
      <c r="B5" s="2" t="s">
        <v>32</v>
      </c>
      <c r="C5" s="3">
        <v>1733465</v>
      </c>
      <c r="D5" s="3">
        <v>2783210</v>
      </c>
      <c r="E5" s="3">
        <v>3250968</v>
      </c>
      <c r="F5" s="3">
        <v>3496019</v>
      </c>
      <c r="G5" s="3">
        <v>4452621</v>
      </c>
      <c r="H5" s="3">
        <v>4606752</v>
      </c>
      <c r="I5" s="3">
        <v>5359186</v>
      </c>
      <c r="J5" s="3">
        <v>5887514</v>
      </c>
      <c r="K5" s="3">
        <v>6374664</v>
      </c>
      <c r="L5" s="3">
        <v>6614337</v>
      </c>
      <c r="M5" s="3">
        <v>7009718</v>
      </c>
      <c r="N5" s="3">
        <v>7402521</v>
      </c>
      <c r="O5" s="3">
        <v>6781495</v>
      </c>
      <c r="P5" s="3">
        <v>7079881</v>
      </c>
      <c r="Q5" s="3">
        <v>7713078</v>
      </c>
      <c r="R5" s="3">
        <v>8133235</v>
      </c>
      <c r="S5" s="3">
        <v>8585478</v>
      </c>
      <c r="T5" s="3">
        <f>+Reporte!C43</f>
        <v>8765234</v>
      </c>
    </row>
    <row r="6" spans="2:20" ht="15" customHeight="1" x14ac:dyDescent="0.3">
      <c r="B6" s="2" t="s">
        <v>179</v>
      </c>
      <c r="C6" s="3">
        <v>309441</v>
      </c>
      <c r="D6" s="3">
        <v>209162</v>
      </c>
      <c r="E6" s="3">
        <v>449264</v>
      </c>
      <c r="F6" s="3">
        <v>364571</v>
      </c>
      <c r="G6" s="3">
        <v>715407</v>
      </c>
      <c r="H6" s="3">
        <v>433379</v>
      </c>
      <c r="I6" s="3">
        <v>309791</v>
      </c>
      <c r="J6" s="3">
        <v>267114</v>
      </c>
      <c r="K6" s="3">
        <v>180349</v>
      </c>
      <c r="L6" s="3">
        <v>231703</v>
      </c>
      <c r="M6" s="3">
        <v>216029</v>
      </c>
      <c r="N6" s="3">
        <v>0</v>
      </c>
      <c r="O6" s="3">
        <v>236812</v>
      </c>
      <c r="P6" s="3">
        <v>285770</v>
      </c>
      <c r="Q6" s="3">
        <f>36174+82418+65000</f>
        <v>183592</v>
      </c>
      <c r="R6" s="3">
        <f>121048+71549</f>
        <v>192597</v>
      </c>
      <c r="S6" s="3">
        <v>84874</v>
      </c>
      <c r="T6" s="3">
        <v>33665</v>
      </c>
    </row>
    <row r="7" spans="2:20" ht="15" customHeight="1" x14ac:dyDescent="0.3">
      <c r="B7" s="2" t="s">
        <v>180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>
        <v>0</v>
      </c>
      <c r="S7" s="92">
        <v>-128782</v>
      </c>
      <c r="T7" s="92">
        <v>-262957</v>
      </c>
    </row>
    <row r="8" spans="2:20" ht="15" customHeight="1" x14ac:dyDescent="0.3">
      <c r="B8" s="2" t="s">
        <v>33</v>
      </c>
      <c r="C8" s="7">
        <f t="shared" ref="C8:Q8" si="0">SUM(C5:C6)</f>
        <v>2042906</v>
      </c>
      <c r="D8" s="7">
        <f t="shared" si="0"/>
        <v>2992372</v>
      </c>
      <c r="E8" s="7">
        <f t="shared" si="0"/>
        <v>3700232</v>
      </c>
      <c r="F8" s="7">
        <f t="shared" si="0"/>
        <v>3860590</v>
      </c>
      <c r="G8" s="7">
        <f t="shared" si="0"/>
        <v>5168028</v>
      </c>
      <c r="H8" s="7">
        <f t="shared" si="0"/>
        <v>5040131</v>
      </c>
      <c r="I8" s="7">
        <f t="shared" si="0"/>
        <v>5668977</v>
      </c>
      <c r="J8" s="7">
        <f t="shared" si="0"/>
        <v>6154628</v>
      </c>
      <c r="K8" s="7">
        <f t="shared" si="0"/>
        <v>6555013</v>
      </c>
      <c r="L8" s="7">
        <f t="shared" si="0"/>
        <v>6846040</v>
      </c>
      <c r="M8" s="7">
        <f t="shared" si="0"/>
        <v>7225747</v>
      </c>
      <c r="N8" s="7">
        <f t="shared" si="0"/>
        <v>7402521</v>
      </c>
      <c r="O8" s="7">
        <f t="shared" si="0"/>
        <v>7018307</v>
      </c>
      <c r="P8" s="7">
        <f t="shared" si="0"/>
        <v>7365651</v>
      </c>
      <c r="Q8" s="3">
        <f t="shared" si="0"/>
        <v>7896670</v>
      </c>
      <c r="R8" s="3">
        <f>SUM(R5:R7)</f>
        <v>8325832</v>
      </c>
      <c r="S8" s="3">
        <f>SUM(S5:S7)</f>
        <v>8541570</v>
      </c>
      <c r="T8" s="3">
        <f>SUM(T5:T7)</f>
        <v>8535942</v>
      </c>
    </row>
    <row r="9" spans="2:20" ht="15" customHeight="1" x14ac:dyDescent="0.3">
      <c r="B9" s="2" t="s">
        <v>34</v>
      </c>
      <c r="C9" s="3">
        <v>2041494.2990000001</v>
      </c>
      <c r="D9" s="3">
        <v>2991446.9189999998</v>
      </c>
      <c r="E9" s="3">
        <v>3654758.64</v>
      </c>
      <c r="F9" s="3">
        <v>3825343</v>
      </c>
      <c r="G9" s="3">
        <v>5130336</v>
      </c>
      <c r="H9" s="3">
        <v>5020917</v>
      </c>
      <c r="I9" s="3">
        <v>5604211</v>
      </c>
      <c r="J9" s="3">
        <v>6105912</v>
      </c>
      <c r="K9" s="3">
        <v>6478883</v>
      </c>
      <c r="L9" s="3">
        <v>6764567</v>
      </c>
      <c r="M9" s="3">
        <v>7172308.8600000003</v>
      </c>
      <c r="N9" s="3">
        <v>7271632.608</v>
      </c>
      <c r="O9" s="3">
        <v>7017561</v>
      </c>
      <c r="P9" s="3">
        <f>(MAX(C29:N29))</f>
        <v>7364890</v>
      </c>
      <c r="Q9" s="3">
        <f>MAX(C35:N35)</f>
        <v>7896647.5999999996</v>
      </c>
      <c r="R9" s="3">
        <f>MAX(C41:N41)</f>
        <v>8325820</v>
      </c>
      <c r="S9" s="3">
        <f>MAX($C$46:$N$46)</f>
        <v>8541438</v>
      </c>
      <c r="T9" s="3">
        <f>MAX($C$51:$N$51)</f>
        <v>6607717</v>
      </c>
    </row>
    <row r="10" spans="2:20" ht="15" customHeight="1" x14ac:dyDescent="0.3">
      <c r="B10" s="2" t="s">
        <v>35</v>
      </c>
      <c r="C10" s="4">
        <f>+C9/C8</f>
        <v>0.99930897407908148</v>
      </c>
      <c r="D10" s="4">
        <f t="shared" ref="D10:M10" si="1">+D9/D8</f>
        <v>0.99969085361044674</v>
      </c>
      <c r="E10" s="4">
        <f t="shared" si="1"/>
        <v>0.9877106732767027</v>
      </c>
      <c r="F10" s="4">
        <f t="shared" si="1"/>
        <v>0.99087004836048376</v>
      </c>
      <c r="G10" s="4">
        <f t="shared" si="1"/>
        <v>0.99270669586155491</v>
      </c>
      <c r="H10" s="4">
        <f t="shared" si="1"/>
        <v>0.99618779749970787</v>
      </c>
      <c r="I10" s="4">
        <f t="shared" si="1"/>
        <v>0.98857536377374611</v>
      </c>
      <c r="J10" s="4">
        <f t="shared" si="1"/>
        <v>0.99208465564450032</v>
      </c>
      <c r="K10" s="4">
        <f t="shared" si="1"/>
        <v>0.98838598794540911</v>
      </c>
      <c r="L10" s="4">
        <f t="shared" si="1"/>
        <v>0.98809925153811551</v>
      </c>
      <c r="M10" s="4">
        <f t="shared" si="1"/>
        <v>0.99260448227705733</v>
      </c>
      <c r="N10" s="4">
        <f>+N9/N8</f>
        <v>0.98231840314941354</v>
      </c>
      <c r="O10" s="4">
        <f t="shared" ref="O10:T10" si="2">O9/O8</f>
        <v>0.999893706559146</v>
      </c>
      <c r="P10" s="4">
        <f t="shared" si="2"/>
        <v>0.99989668258786635</v>
      </c>
      <c r="Q10" s="4">
        <f t="shared" si="2"/>
        <v>0.99999716336126487</v>
      </c>
      <c r="R10" s="4">
        <f t="shared" si="2"/>
        <v>0.99999855870260168</v>
      </c>
      <c r="S10" s="4">
        <f t="shared" si="2"/>
        <v>0.99998454616657129</v>
      </c>
      <c r="T10" s="4">
        <f t="shared" si="2"/>
        <v>0.77410518956197216</v>
      </c>
    </row>
    <row r="12" spans="2:20" hidden="1" x14ac:dyDescent="0.3"/>
    <row r="13" spans="2:20" hidden="1" x14ac:dyDescent="0.3"/>
    <row r="14" spans="2:20" hidden="1" x14ac:dyDescent="0.3">
      <c r="B14" s="6">
        <v>2020</v>
      </c>
      <c r="C14" s="2" t="s">
        <v>24</v>
      </c>
      <c r="D14" s="2" t="s">
        <v>25</v>
      </c>
      <c r="E14" s="2" t="s">
        <v>28</v>
      </c>
      <c r="F14" s="2" t="s">
        <v>29</v>
      </c>
      <c r="G14" s="2" t="s">
        <v>30</v>
      </c>
      <c r="H14" s="2" t="s">
        <v>31</v>
      </c>
      <c r="I14" s="2" t="s">
        <v>36</v>
      </c>
      <c r="J14" s="2" t="s">
        <v>37</v>
      </c>
      <c r="K14" s="2" t="s">
        <v>38</v>
      </c>
      <c r="L14" s="2" t="s">
        <v>39</v>
      </c>
      <c r="M14" s="2" t="s">
        <v>40</v>
      </c>
      <c r="N14" s="2" t="s">
        <v>41</v>
      </c>
    </row>
    <row r="15" spans="2:20" hidden="1" x14ac:dyDescent="0.3">
      <c r="B15" s="2" t="s">
        <v>42</v>
      </c>
      <c r="C15" s="3">
        <v>566586.02300000004</v>
      </c>
      <c r="D15" s="3">
        <v>489827.82199999999</v>
      </c>
      <c r="E15" s="3">
        <v>652175.32799999998</v>
      </c>
      <c r="F15" s="3">
        <v>544623.16500000004</v>
      </c>
      <c r="G15" s="3">
        <v>575664.22</v>
      </c>
      <c r="H15" s="3">
        <v>589136.11199999996</v>
      </c>
      <c r="I15" s="3">
        <v>530939.15700000001</v>
      </c>
      <c r="J15" s="3">
        <v>510910.408</v>
      </c>
      <c r="K15" s="3">
        <v>646101.60100000002</v>
      </c>
      <c r="L15" s="3">
        <v>568122.48400000005</v>
      </c>
      <c r="M15" s="3">
        <v>587323.27800000005</v>
      </c>
      <c r="N15" s="3">
        <v>1010223.01</v>
      </c>
    </row>
    <row r="16" spans="2:20" hidden="1" x14ac:dyDescent="0.3">
      <c r="B16" s="2" t="s">
        <v>43</v>
      </c>
      <c r="C16" s="3">
        <f>+C15</f>
        <v>566586.02300000004</v>
      </c>
      <c r="D16" s="3">
        <f>+D15+C16</f>
        <v>1056413.845</v>
      </c>
      <c r="E16" s="3">
        <f t="shared" ref="E16:N16" si="3">+E15+D16</f>
        <v>1708589.173</v>
      </c>
      <c r="F16" s="3">
        <f t="shared" si="3"/>
        <v>2253212.338</v>
      </c>
      <c r="G16" s="3">
        <f t="shared" si="3"/>
        <v>2828876.5580000002</v>
      </c>
      <c r="H16" s="3">
        <f t="shared" si="3"/>
        <v>3418012.67</v>
      </c>
      <c r="I16" s="3">
        <f t="shared" si="3"/>
        <v>3948951.827</v>
      </c>
      <c r="J16" s="3">
        <f t="shared" si="3"/>
        <v>4459862.2350000003</v>
      </c>
      <c r="K16" s="3">
        <f t="shared" si="3"/>
        <v>5105963.8360000001</v>
      </c>
      <c r="L16" s="3">
        <f t="shared" si="3"/>
        <v>5674086.3200000003</v>
      </c>
      <c r="M16" s="3">
        <f t="shared" si="3"/>
        <v>6261409.5980000002</v>
      </c>
      <c r="N16" s="3">
        <f t="shared" si="3"/>
        <v>7271632.608</v>
      </c>
    </row>
    <row r="17" spans="2:14" hidden="1" x14ac:dyDescent="0.3">
      <c r="B17" s="2" t="s">
        <v>44</v>
      </c>
      <c r="C17" s="5">
        <f>+C16/$N$8</f>
        <v>7.6539603602610529E-2</v>
      </c>
      <c r="D17" s="5">
        <f t="shared" ref="D17:N17" si="4">+D16/$N$8</f>
        <v>0.14271000987366331</v>
      </c>
      <c r="E17" s="5">
        <f t="shared" si="4"/>
        <v>0.23081179681894856</v>
      </c>
      <c r="F17" s="5">
        <f t="shared" si="4"/>
        <v>0.30438445740309283</v>
      </c>
      <c r="G17" s="5">
        <f t="shared" si="4"/>
        <v>0.38215042659115728</v>
      </c>
      <c r="H17" s="5">
        <f t="shared" si="4"/>
        <v>0.46173630172747904</v>
      </c>
      <c r="I17" s="5">
        <f t="shared" si="4"/>
        <v>0.533460401800954</v>
      </c>
      <c r="J17" s="5">
        <f t="shared" si="4"/>
        <v>0.60247883592630136</v>
      </c>
      <c r="K17" s="5">
        <f t="shared" si="4"/>
        <v>0.68976012847515056</v>
      </c>
      <c r="L17" s="5">
        <f t="shared" si="4"/>
        <v>0.76650729123227079</v>
      </c>
      <c r="M17" s="5">
        <f t="shared" si="4"/>
        <v>0.84584827223050096</v>
      </c>
      <c r="N17" s="5">
        <f t="shared" si="4"/>
        <v>0.98231840314941354</v>
      </c>
    </row>
    <row r="18" spans="2:14" hidden="1" x14ac:dyDescent="0.3">
      <c r="B18" s="74"/>
    </row>
    <row r="19" spans="2:14" hidden="1" x14ac:dyDescent="0.3"/>
    <row r="21" spans="2:14" hidden="1" x14ac:dyDescent="0.3">
      <c r="B21" s="6">
        <v>2021</v>
      </c>
      <c r="C21" s="2" t="s">
        <v>24</v>
      </c>
      <c r="D21" s="2" t="s">
        <v>25</v>
      </c>
      <c r="E21" s="2" t="s">
        <v>28</v>
      </c>
      <c r="F21" s="2" t="s">
        <v>29</v>
      </c>
      <c r="G21" s="2" t="s">
        <v>30</v>
      </c>
      <c r="H21" s="2" t="s">
        <v>31</v>
      </c>
      <c r="I21" s="2" t="s">
        <v>36</v>
      </c>
      <c r="J21" s="2" t="s">
        <v>37</v>
      </c>
      <c r="K21" s="2" t="s">
        <v>38</v>
      </c>
      <c r="L21" s="2" t="s">
        <v>48</v>
      </c>
      <c r="M21" s="2" t="s">
        <v>40</v>
      </c>
      <c r="N21" s="2" t="s">
        <v>41</v>
      </c>
    </row>
    <row r="22" spans="2:14" hidden="1" x14ac:dyDescent="0.3">
      <c r="B22" s="2" t="s">
        <v>45</v>
      </c>
      <c r="C22" s="3">
        <v>489366</v>
      </c>
      <c r="D22" s="3">
        <v>550815</v>
      </c>
      <c r="E22" s="3">
        <v>657444</v>
      </c>
      <c r="F22" s="3">
        <v>688402</v>
      </c>
      <c r="G22" s="3">
        <v>540628.56000000006</v>
      </c>
      <c r="H22" s="3">
        <v>565382.67200000002</v>
      </c>
      <c r="I22" s="3">
        <v>568187</v>
      </c>
      <c r="J22" s="3">
        <v>550699</v>
      </c>
      <c r="K22" s="3">
        <v>600560</v>
      </c>
      <c r="L22" s="3">
        <v>554141</v>
      </c>
      <c r="M22" s="3">
        <v>546223</v>
      </c>
      <c r="N22" s="3">
        <v>705713</v>
      </c>
    </row>
    <row r="23" spans="2:14" hidden="1" x14ac:dyDescent="0.3">
      <c r="B23" s="2" t="s">
        <v>43</v>
      </c>
      <c r="C23" s="26">
        <f>+C22</f>
        <v>489366</v>
      </c>
      <c r="D23" s="26">
        <f>+D22+C23</f>
        <v>1040181</v>
      </c>
      <c r="E23" s="26">
        <f t="shared" ref="E23:H23" si="5">+E22+D23</f>
        <v>1697625</v>
      </c>
      <c r="F23" s="26">
        <f t="shared" si="5"/>
        <v>2386027</v>
      </c>
      <c r="G23" s="26">
        <f t="shared" si="5"/>
        <v>2926655.56</v>
      </c>
      <c r="H23" s="26">
        <f t="shared" si="5"/>
        <v>3492038.2319999998</v>
      </c>
      <c r="I23" s="26">
        <f t="shared" ref="I23:N23" si="6">+I22+H23</f>
        <v>4060225.2319999998</v>
      </c>
      <c r="J23" s="26">
        <f t="shared" si="6"/>
        <v>4610924.2319999998</v>
      </c>
      <c r="K23" s="26">
        <f t="shared" si="6"/>
        <v>5211484.2319999998</v>
      </c>
      <c r="L23" s="26">
        <f t="shared" si="6"/>
        <v>5765625.2319999998</v>
      </c>
      <c r="M23" s="26">
        <f t="shared" si="6"/>
        <v>6311848.2319999998</v>
      </c>
      <c r="N23" s="26">
        <f t="shared" si="6"/>
        <v>7017561.2319999998</v>
      </c>
    </row>
    <row r="24" spans="2:14" hidden="1" x14ac:dyDescent="0.3">
      <c r="B24" s="2" t="s">
        <v>44</v>
      </c>
      <c r="C24" s="5">
        <f>+C23/$O$8</f>
        <v>6.9727072355199052E-2</v>
      </c>
      <c r="D24" s="5">
        <f t="shared" ref="D24:G24" si="7">+D23/$O$8</f>
        <v>0.1482096750683605</v>
      </c>
      <c r="E24" s="5">
        <f t="shared" si="7"/>
        <v>0.24188525808289663</v>
      </c>
      <c r="F24" s="5">
        <f t="shared" si="7"/>
        <v>0.33997187640837029</v>
      </c>
      <c r="G24" s="5">
        <f t="shared" si="7"/>
        <v>0.41700306925872577</v>
      </c>
      <c r="H24" s="5">
        <f t="shared" ref="H24:M24" si="8">+H23/$O$8</f>
        <v>0.49756133950823178</v>
      </c>
      <c r="I24" s="5">
        <f t="shared" si="8"/>
        <v>0.57851918304514183</v>
      </c>
      <c r="J24" s="5">
        <f t="shared" si="8"/>
        <v>0.65698525755570392</v>
      </c>
      <c r="K24" s="5">
        <f t="shared" si="8"/>
        <v>0.74255575197836166</v>
      </c>
      <c r="L24" s="5">
        <f t="shared" si="8"/>
        <v>0.82151225815570617</v>
      </c>
      <c r="M24" s="5">
        <f t="shared" si="8"/>
        <v>0.89934057202114415</v>
      </c>
      <c r="N24" s="5">
        <f t="shared" ref="N24" si="9">+N23/$O$8</f>
        <v>0.99989373961555117</v>
      </c>
    </row>
    <row r="25" spans="2:14" hidden="1" x14ac:dyDescent="0.3"/>
    <row r="26" spans="2:14" hidden="1" x14ac:dyDescent="0.3"/>
    <row r="27" spans="2:14" hidden="1" x14ac:dyDescent="0.3">
      <c r="B27" s="6">
        <v>2022</v>
      </c>
      <c r="C27" s="2" t="s">
        <v>24</v>
      </c>
      <c r="D27" s="2" t="s">
        <v>25</v>
      </c>
      <c r="E27" s="2" t="s">
        <v>28</v>
      </c>
      <c r="F27" s="2" t="s">
        <v>29</v>
      </c>
      <c r="G27" s="2" t="s">
        <v>30</v>
      </c>
      <c r="H27" s="2" t="s">
        <v>31</v>
      </c>
      <c r="I27" s="2" t="s">
        <v>36</v>
      </c>
      <c r="J27" s="2" t="s">
        <v>37</v>
      </c>
      <c r="K27" s="2" t="s">
        <v>38</v>
      </c>
      <c r="L27" s="2" t="s">
        <v>48</v>
      </c>
      <c r="M27" s="2" t="s">
        <v>40</v>
      </c>
      <c r="N27" s="2" t="s">
        <v>41</v>
      </c>
    </row>
    <row r="28" spans="2:14" hidden="1" x14ac:dyDescent="0.3">
      <c r="B28" s="2" t="s">
        <v>45</v>
      </c>
      <c r="C28" s="3">
        <v>543935</v>
      </c>
      <c r="D28" s="3">
        <v>641993</v>
      </c>
      <c r="E28" s="3">
        <v>885481</v>
      </c>
      <c r="F28" s="3">
        <v>533801</v>
      </c>
      <c r="G28" s="3">
        <v>570468</v>
      </c>
      <c r="H28" s="3">
        <v>655466</v>
      </c>
      <c r="I28" s="3">
        <v>604829</v>
      </c>
      <c r="J28" s="3">
        <v>536046</v>
      </c>
      <c r="K28" s="3">
        <v>591148</v>
      </c>
      <c r="L28" s="3">
        <v>529202</v>
      </c>
      <c r="M28" s="3">
        <v>551393</v>
      </c>
      <c r="N28" s="3">
        <v>721128</v>
      </c>
    </row>
    <row r="29" spans="2:14" hidden="1" x14ac:dyDescent="0.3">
      <c r="B29" s="2" t="s">
        <v>43</v>
      </c>
      <c r="C29" s="26">
        <f>+C28</f>
        <v>543935</v>
      </c>
      <c r="D29" s="26">
        <f t="shared" ref="D29:M29" si="10">+D28+C29</f>
        <v>1185928</v>
      </c>
      <c r="E29" s="26">
        <f t="shared" si="10"/>
        <v>2071409</v>
      </c>
      <c r="F29" s="26">
        <f t="shared" si="10"/>
        <v>2605210</v>
      </c>
      <c r="G29" s="26">
        <f t="shared" si="10"/>
        <v>3175678</v>
      </c>
      <c r="H29" s="26">
        <f t="shared" si="10"/>
        <v>3831144</v>
      </c>
      <c r="I29" s="26">
        <f t="shared" si="10"/>
        <v>4435973</v>
      </c>
      <c r="J29" s="26">
        <f t="shared" si="10"/>
        <v>4972019</v>
      </c>
      <c r="K29" s="26">
        <f t="shared" si="10"/>
        <v>5563167</v>
      </c>
      <c r="L29" s="26">
        <f t="shared" si="10"/>
        <v>6092369</v>
      </c>
      <c r="M29" s="26">
        <f t="shared" si="10"/>
        <v>6643762</v>
      </c>
      <c r="N29" s="26">
        <f>+N28+M29</f>
        <v>7364890</v>
      </c>
    </row>
    <row r="30" spans="2:14" hidden="1" x14ac:dyDescent="0.3">
      <c r="B30" s="2" t="s">
        <v>44</v>
      </c>
      <c r="C30" s="5">
        <f>+C29/$P$8</f>
        <v>7.3847511917140798E-2</v>
      </c>
      <c r="D30" s="5">
        <f t="shared" ref="D30:N30" si="11">+D29/$P$8</f>
        <v>0.16100790004848181</v>
      </c>
      <c r="E30" s="5">
        <f t="shared" si="11"/>
        <v>0.28122551557221487</v>
      </c>
      <c r="F30" s="5">
        <f t="shared" si="11"/>
        <v>0.35369718168835312</v>
      </c>
      <c r="G30" s="5">
        <f t="shared" si="11"/>
        <v>0.43114695496704908</v>
      </c>
      <c r="H30" s="5">
        <f t="shared" si="11"/>
        <v>0.52013650931872824</v>
      </c>
      <c r="I30" s="5">
        <f t="shared" si="11"/>
        <v>0.6022513149211115</v>
      </c>
      <c r="J30" s="5">
        <f t="shared" si="11"/>
        <v>0.67502777419131044</v>
      </c>
      <c r="K30" s="5">
        <f t="shared" si="11"/>
        <v>0.75528517438580789</v>
      </c>
      <c r="L30" s="5">
        <f t="shared" si="11"/>
        <v>0.8271324557734272</v>
      </c>
      <c r="M30" s="5">
        <f t="shared" si="11"/>
        <v>0.90199250548254317</v>
      </c>
      <c r="N30" s="5">
        <f t="shared" si="11"/>
        <v>0.99989668258786635</v>
      </c>
    </row>
    <row r="31" spans="2:14" hidden="1" x14ac:dyDescent="0.3"/>
    <row r="32" spans="2:14" hidden="1" x14ac:dyDescent="0.3"/>
    <row r="33" spans="2:14" hidden="1" x14ac:dyDescent="0.3">
      <c r="B33" s="6">
        <v>2023</v>
      </c>
      <c r="C33" s="2" t="s">
        <v>24</v>
      </c>
      <c r="D33" s="2" t="s">
        <v>25</v>
      </c>
      <c r="E33" s="2" t="s">
        <v>28</v>
      </c>
      <c r="F33" s="2" t="s">
        <v>29</v>
      </c>
      <c r="G33" s="2" t="s">
        <v>30</v>
      </c>
      <c r="H33" s="2" t="s">
        <v>31</v>
      </c>
      <c r="I33" s="2" t="s">
        <v>36</v>
      </c>
      <c r="J33" s="2" t="s">
        <v>37</v>
      </c>
      <c r="K33" s="2" t="s">
        <v>38</v>
      </c>
      <c r="L33" s="2" t="s">
        <v>48</v>
      </c>
      <c r="M33" s="2" t="s">
        <v>40</v>
      </c>
      <c r="N33" s="2" t="s">
        <v>41</v>
      </c>
    </row>
    <row r="34" spans="2:14" hidden="1" x14ac:dyDescent="0.3">
      <c r="B34" s="2" t="s">
        <v>45</v>
      </c>
      <c r="C34" s="3">
        <f>588356+36174</f>
        <v>624530</v>
      </c>
      <c r="D34" s="3">
        <v>577811</v>
      </c>
      <c r="E34" s="7">
        <v>861046</v>
      </c>
      <c r="F34" s="3">
        <v>652187</v>
      </c>
      <c r="G34" s="3">
        <v>648536.4</v>
      </c>
      <c r="H34" s="3">
        <v>627436</v>
      </c>
      <c r="I34" s="3">
        <v>565222.19999999995</v>
      </c>
      <c r="J34" s="3">
        <v>585319</v>
      </c>
      <c r="K34" s="3">
        <v>644939</v>
      </c>
      <c r="L34" s="3">
        <v>662820</v>
      </c>
      <c r="M34" s="3">
        <v>673087</v>
      </c>
      <c r="N34" s="3">
        <v>773714</v>
      </c>
    </row>
    <row r="35" spans="2:14" hidden="1" x14ac:dyDescent="0.3">
      <c r="B35" s="2" t="s">
        <v>43</v>
      </c>
      <c r="C35" s="26">
        <f>+C34</f>
        <v>624530</v>
      </c>
      <c r="D35" s="26">
        <f t="shared" ref="D35:N35" si="12">+D34+C35</f>
        <v>1202341</v>
      </c>
      <c r="E35" s="26">
        <f t="shared" si="12"/>
        <v>2063387</v>
      </c>
      <c r="F35" s="26">
        <f t="shared" si="12"/>
        <v>2715574</v>
      </c>
      <c r="G35" s="26">
        <f t="shared" si="12"/>
        <v>3364110.4</v>
      </c>
      <c r="H35" s="26">
        <f t="shared" si="12"/>
        <v>3991546.4</v>
      </c>
      <c r="I35" s="26">
        <f t="shared" si="12"/>
        <v>4556768.5999999996</v>
      </c>
      <c r="J35" s="26">
        <f t="shared" si="12"/>
        <v>5142087.5999999996</v>
      </c>
      <c r="K35" s="26">
        <f t="shared" si="12"/>
        <v>5787026.5999999996</v>
      </c>
      <c r="L35" s="26">
        <f t="shared" si="12"/>
        <v>6449846.5999999996</v>
      </c>
      <c r="M35" s="26">
        <f t="shared" si="12"/>
        <v>7122933.5999999996</v>
      </c>
      <c r="N35" s="26">
        <f t="shared" si="12"/>
        <v>7896647.5999999996</v>
      </c>
    </row>
    <row r="36" spans="2:14" hidden="1" x14ac:dyDescent="0.3">
      <c r="B36" s="2" t="s">
        <v>44</v>
      </c>
      <c r="C36" s="5">
        <f>+C35/$Q$8</f>
        <v>7.9087767375362023E-2</v>
      </c>
      <c r="D36" s="5">
        <f t="shared" ref="D36:M36" si="13">+D35/$Q$8</f>
        <v>0.15225924345325309</v>
      </c>
      <c r="E36" s="5">
        <f t="shared" si="13"/>
        <v>0.26129837007244827</v>
      </c>
      <c r="F36" s="5">
        <f t="shared" si="13"/>
        <v>0.34388849983600683</v>
      </c>
      <c r="G36" s="5">
        <f t="shared" si="13"/>
        <v>0.42601633346714501</v>
      </c>
      <c r="H36" s="5">
        <f t="shared" si="13"/>
        <v>0.50547210406411813</v>
      </c>
      <c r="I36" s="5">
        <f t="shared" si="13"/>
        <v>0.57704938917290449</v>
      </c>
      <c r="J36" s="5">
        <f t="shared" si="13"/>
        <v>0.65117164576967246</v>
      </c>
      <c r="K36" s="5">
        <f t="shared" si="13"/>
        <v>0.73284392028538603</v>
      </c>
      <c r="L36" s="5">
        <f t="shared" si="13"/>
        <v>0.81678056699849422</v>
      </c>
      <c r="M36" s="5">
        <f t="shared" si="13"/>
        <v>0.90201738201039172</v>
      </c>
      <c r="N36" s="5">
        <f>+N35/$Q$8</f>
        <v>0.99999716336126487</v>
      </c>
    </row>
    <row r="39" spans="2:14" x14ac:dyDescent="0.3">
      <c r="B39" s="6">
        <v>2024</v>
      </c>
      <c r="C39" s="2" t="s">
        <v>24</v>
      </c>
      <c r="D39" s="2" t="s">
        <v>25</v>
      </c>
      <c r="E39" s="2" t="s">
        <v>28</v>
      </c>
      <c r="F39" s="2" t="s">
        <v>29</v>
      </c>
      <c r="G39" s="2" t="s">
        <v>30</v>
      </c>
      <c r="H39" s="2" t="s">
        <v>31</v>
      </c>
      <c r="I39" s="2" t="s">
        <v>36</v>
      </c>
      <c r="J39" s="2" t="s">
        <v>37</v>
      </c>
      <c r="K39" s="2" t="s">
        <v>38</v>
      </c>
      <c r="L39" s="2" t="s">
        <v>48</v>
      </c>
      <c r="M39" s="2" t="s">
        <v>40</v>
      </c>
      <c r="N39" s="2" t="s">
        <v>41</v>
      </c>
    </row>
    <row r="40" spans="2:14" x14ac:dyDescent="0.3">
      <c r="B40" s="2" t="s">
        <v>45</v>
      </c>
      <c r="C40" s="3">
        <v>601830</v>
      </c>
      <c r="D40" s="3">
        <v>668091</v>
      </c>
      <c r="E40" s="7">
        <v>924883</v>
      </c>
      <c r="F40" s="3">
        <v>692684</v>
      </c>
      <c r="G40" s="3">
        <v>667927</v>
      </c>
      <c r="H40" s="3">
        <v>652729</v>
      </c>
      <c r="I40" s="3">
        <v>669573</v>
      </c>
      <c r="J40" s="3">
        <v>680461</v>
      </c>
      <c r="K40" s="3">
        <v>684551</v>
      </c>
      <c r="L40" s="3">
        <v>655911</v>
      </c>
      <c r="M40" s="3">
        <v>640472</v>
      </c>
      <c r="N40" s="3">
        <v>786708</v>
      </c>
    </row>
    <row r="41" spans="2:14" x14ac:dyDescent="0.3">
      <c r="B41" s="2" t="s">
        <v>43</v>
      </c>
      <c r="C41" s="26">
        <f>+C40</f>
        <v>601830</v>
      </c>
      <c r="D41" s="26">
        <f>+D40+C41</f>
        <v>1269921</v>
      </c>
      <c r="E41" s="26">
        <f t="shared" ref="E41:N41" si="14">+E40+D41</f>
        <v>2194804</v>
      </c>
      <c r="F41" s="26">
        <f t="shared" si="14"/>
        <v>2887488</v>
      </c>
      <c r="G41" s="26">
        <f t="shared" si="14"/>
        <v>3555415</v>
      </c>
      <c r="H41" s="26">
        <f t="shared" si="14"/>
        <v>4208144</v>
      </c>
      <c r="I41" s="26">
        <f t="shared" si="14"/>
        <v>4877717</v>
      </c>
      <c r="J41" s="26">
        <f t="shared" si="14"/>
        <v>5558178</v>
      </c>
      <c r="K41" s="26">
        <f t="shared" si="14"/>
        <v>6242729</v>
      </c>
      <c r="L41" s="26">
        <f t="shared" si="14"/>
        <v>6898640</v>
      </c>
      <c r="M41" s="26">
        <f t="shared" si="14"/>
        <v>7539112</v>
      </c>
      <c r="N41" s="26">
        <f t="shared" si="14"/>
        <v>8325820</v>
      </c>
    </row>
    <row r="42" spans="2:14" x14ac:dyDescent="0.3">
      <c r="B42" s="2" t="s">
        <v>44</v>
      </c>
      <c r="C42" s="5">
        <f>+C41/$R$8</f>
        <v>7.228466776653672E-2</v>
      </c>
      <c r="D42" s="5">
        <f t="shared" ref="D42:N42" si="15">+D41/$R$8</f>
        <v>0.15252781944194888</v>
      </c>
      <c r="E42" s="5">
        <f t="shared" si="15"/>
        <v>0.2636137745753217</v>
      </c>
      <c r="F42" s="5">
        <f t="shared" si="15"/>
        <v>0.34681074516036353</v>
      </c>
      <c r="G42" s="5">
        <f t="shared" si="15"/>
        <v>0.42703419910466606</v>
      </c>
      <c r="H42" s="5">
        <f t="shared" si="15"/>
        <v>0.50543224989406466</v>
      </c>
      <c r="I42" s="5">
        <f t="shared" si="15"/>
        <v>0.58585340179816259</v>
      </c>
      <c r="J42" s="5">
        <f t="shared" si="15"/>
        <v>0.66758229087495402</v>
      </c>
      <c r="K42" s="5">
        <f t="shared" si="15"/>
        <v>0.74980242214832105</v>
      </c>
      <c r="L42" s="5">
        <f t="shared" si="15"/>
        <v>0.82858265696449318</v>
      </c>
      <c r="M42" s="5">
        <f t="shared" si="15"/>
        <v>0.9055085425696795</v>
      </c>
      <c r="N42" s="5">
        <f t="shared" si="15"/>
        <v>0.99999855870260168</v>
      </c>
    </row>
    <row r="44" spans="2:14" x14ac:dyDescent="0.3">
      <c r="B44" s="6">
        <v>2025</v>
      </c>
      <c r="C44" s="2" t="s">
        <v>24</v>
      </c>
      <c r="D44" s="2" t="s">
        <v>25</v>
      </c>
      <c r="E44" s="2" t="s">
        <v>28</v>
      </c>
      <c r="F44" s="2" t="s">
        <v>29</v>
      </c>
      <c r="G44" s="2" t="s">
        <v>30</v>
      </c>
      <c r="H44" s="2" t="s">
        <v>31</v>
      </c>
      <c r="I44" s="2" t="s">
        <v>36</v>
      </c>
      <c r="J44" s="2" t="s">
        <v>37</v>
      </c>
      <c r="K44" s="2" t="s">
        <v>38</v>
      </c>
      <c r="L44" s="2" t="s">
        <v>48</v>
      </c>
      <c r="M44" s="2" t="s">
        <v>40</v>
      </c>
      <c r="N44" s="2" t="s">
        <v>41</v>
      </c>
    </row>
    <row r="45" spans="2:14" x14ac:dyDescent="0.3">
      <c r="B45" s="2" t="s">
        <v>45</v>
      </c>
      <c r="C45" s="3">
        <v>718019</v>
      </c>
      <c r="D45" s="3">
        <v>632607</v>
      </c>
      <c r="E45" s="7">
        <v>1002916</v>
      </c>
      <c r="F45" s="3">
        <v>663679</v>
      </c>
      <c r="G45" s="3">
        <v>658663</v>
      </c>
      <c r="H45" s="3">
        <v>687523</v>
      </c>
      <c r="I45" s="3">
        <v>667106</v>
      </c>
      <c r="J45" s="3">
        <v>695341</v>
      </c>
      <c r="K45" s="3">
        <v>705449</v>
      </c>
      <c r="L45" s="3">
        <v>701936</v>
      </c>
      <c r="M45" s="3">
        <v>674797</v>
      </c>
      <c r="N45" s="3">
        <v>733402</v>
      </c>
    </row>
    <row r="46" spans="2:14" x14ac:dyDescent="0.3">
      <c r="B46" s="2" t="s">
        <v>43</v>
      </c>
      <c r="C46" s="26">
        <f>+C45</f>
        <v>718019</v>
      </c>
      <c r="D46" s="26">
        <f t="shared" ref="D46:N46" si="16">+D45+C46</f>
        <v>1350626</v>
      </c>
      <c r="E46" s="26">
        <f t="shared" si="16"/>
        <v>2353542</v>
      </c>
      <c r="F46" s="26">
        <f t="shared" si="16"/>
        <v>3017221</v>
      </c>
      <c r="G46" s="26">
        <f t="shared" si="16"/>
        <v>3675884</v>
      </c>
      <c r="H46" s="26">
        <f t="shared" si="16"/>
        <v>4363407</v>
      </c>
      <c r="I46" s="26">
        <f t="shared" si="16"/>
        <v>5030513</v>
      </c>
      <c r="J46" s="26">
        <f t="shared" si="16"/>
        <v>5725854</v>
      </c>
      <c r="K46" s="26">
        <f t="shared" si="16"/>
        <v>6431303</v>
      </c>
      <c r="L46" s="26">
        <f t="shared" si="16"/>
        <v>7133239</v>
      </c>
      <c r="M46" s="26">
        <f t="shared" si="16"/>
        <v>7808036</v>
      </c>
      <c r="N46" s="26">
        <f t="shared" si="16"/>
        <v>8541438</v>
      </c>
    </row>
    <row r="47" spans="2:14" x14ac:dyDescent="0.3">
      <c r="B47" s="2" t="s">
        <v>44</v>
      </c>
      <c r="C47" s="5">
        <f>+C46/S8</f>
        <v>8.4061712308158801E-2</v>
      </c>
      <c r="D47" s="5">
        <f>+D46/$S$8</f>
        <v>0.15812385779195159</v>
      </c>
      <c r="E47" s="5">
        <f t="shared" ref="E47:N47" si="17">+E46/$S$8</f>
        <v>0.27553974269367343</v>
      </c>
      <c r="F47" s="5">
        <f t="shared" si="17"/>
        <v>0.35323962690699717</v>
      </c>
      <c r="G47" s="5">
        <f t="shared" si="17"/>
        <v>0.43035226545002853</v>
      </c>
      <c r="H47" s="5">
        <f t="shared" si="17"/>
        <v>0.51084367393816354</v>
      </c>
      <c r="I47" s="5">
        <f t="shared" si="17"/>
        <v>0.58894477244815646</v>
      </c>
      <c r="J47" s="5">
        <f t="shared" si="17"/>
        <v>0.67035146934345791</v>
      </c>
      <c r="K47" s="5">
        <f t="shared" si="17"/>
        <v>0.75294155524101536</v>
      </c>
      <c r="L47" s="5">
        <f t="shared" si="17"/>
        <v>0.83512035843527599</v>
      </c>
      <c r="M47" s="5">
        <f t="shared" si="17"/>
        <v>0.91412187689148483</v>
      </c>
      <c r="N47" s="5">
        <f t="shared" si="17"/>
        <v>0.99998454616657129</v>
      </c>
    </row>
    <row r="49" spans="2:14" x14ac:dyDescent="0.3">
      <c r="B49" s="6">
        <v>2026</v>
      </c>
      <c r="C49" s="2" t="s">
        <v>24</v>
      </c>
      <c r="D49" s="2" t="s">
        <v>25</v>
      </c>
      <c r="E49" s="2" t="s">
        <v>28</v>
      </c>
      <c r="F49" s="2" t="s">
        <v>29</v>
      </c>
      <c r="G49" s="2" t="s">
        <v>30</v>
      </c>
      <c r="H49" s="2" t="s">
        <v>31</v>
      </c>
      <c r="I49" s="2" t="s">
        <v>36</v>
      </c>
      <c r="J49" s="2" t="s">
        <v>37</v>
      </c>
      <c r="K49" s="2" t="s">
        <v>38</v>
      </c>
      <c r="L49" s="2" t="s">
        <v>48</v>
      </c>
      <c r="M49" s="2" t="s">
        <v>40</v>
      </c>
      <c r="N49" s="2" t="s">
        <v>41</v>
      </c>
    </row>
    <row r="50" spans="2:14" x14ac:dyDescent="0.3">
      <c r="B50" s="2" t="s">
        <v>45</v>
      </c>
      <c r="C50" s="3">
        <v>691050</v>
      </c>
      <c r="D50" s="3">
        <v>681966</v>
      </c>
      <c r="E50" s="7">
        <v>1061182</v>
      </c>
      <c r="F50" s="3">
        <v>688258</v>
      </c>
      <c r="G50" s="3">
        <v>674743</v>
      </c>
      <c r="H50" s="3">
        <v>746969</v>
      </c>
      <c r="I50" s="3">
        <v>618801</v>
      </c>
      <c r="J50" s="3">
        <v>727989</v>
      </c>
      <c r="K50" s="3">
        <v>716759</v>
      </c>
      <c r="L50" s="3">
        <v>0</v>
      </c>
      <c r="M50" s="3">
        <v>0</v>
      </c>
      <c r="N50" s="3">
        <v>0</v>
      </c>
    </row>
    <row r="51" spans="2:14" x14ac:dyDescent="0.3">
      <c r="B51" s="2" t="s">
        <v>43</v>
      </c>
      <c r="C51" s="26">
        <f>+C50</f>
        <v>691050</v>
      </c>
      <c r="D51" s="26">
        <f>+D50+C51</f>
        <v>1373016</v>
      </c>
      <c r="E51" s="26">
        <f t="shared" ref="E51:N51" si="18">+E50+D51</f>
        <v>2434198</v>
      </c>
      <c r="F51" s="26">
        <f t="shared" si="18"/>
        <v>3122456</v>
      </c>
      <c r="G51" s="26">
        <f t="shared" si="18"/>
        <v>3797199</v>
      </c>
      <c r="H51" s="26">
        <f t="shared" si="18"/>
        <v>4544168</v>
      </c>
      <c r="I51" s="26">
        <f t="shared" si="18"/>
        <v>5162969</v>
      </c>
      <c r="J51" s="26">
        <f t="shared" si="18"/>
        <v>5890958</v>
      </c>
      <c r="K51" s="26">
        <f t="shared" si="18"/>
        <v>6607717</v>
      </c>
      <c r="L51" s="26">
        <f t="shared" si="18"/>
        <v>6607717</v>
      </c>
      <c r="M51" s="26">
        <f t="shared" si="18"/>
        <v>6607717</v>
      </c>
      <c r="N51" s="26">
        <f t="shared" si="18"/>
        <v>6607717</v>
      </c>
    </row>
    <row r="52" spans="2:14" x14ac:dyDescent="0.3">
      <c r="B52" s="2" t="s">
        <v>44</v>
      </c>
      <c r="C52" s="5">
        <f>+C51/$T$8</f>
        <v>8.0957672861413532E-2</v>
      </c>
      <c r="D52" s="5">
        <f t="shared" ref="D52:N52" si="19">+D51/$T$8</f>
        <v>0.16085113980390214</v>
      </c>
      <c r="E52" s="5">
        <f t="shared" si="19"/>
        <v>0.28517040064236615</v>
      </c>
      <c r="F52" s="5">
        <f t="shared" si="19"/>
        <v>0.36580098599545313</v>
      </c>
      <c r="G52" s="5">
        <f t="shared" si="19"/>
        <v>0.44484826630733904</v>
      </c>
      <c r="H52" s="5">
        <f t="shared" si="19"/>
        <v>0.53235694431850633</v>
      </c>
      <c r="I52" s="5">
        <f t="shared" si="19"/>
        <v>0.6048505249918521</v>
      </c>
      <c r="J52" s="5">
        <f t="shared" si="19"/>
        <v>0.69013566399584247</v>
      </c>
      <c r="K52" s="5">
        <f t="shared" si="19"/>
        <v>0.77410518956197216</v>
      </c>
      <c r="L52" s="5">
        <f t="shared" si="19"/>
        <v>0.77410518956197216</v>
      </c>
      <c r="M52" s="5">
        <f t="shared" si="19"/>
        <v>0.77410518956197216</v>
      </c>
      <c r="N52" s="5">
        <f t="shared" si="19"/>
        <v>0.77410518956197216</v>
      </c>
    </row>
  </sheetData>
  <phoneticPr fontId="3" type="noConversion"/>
  <pageMargins left="0.7" right="0.7" top="0.75" bottom="0.75" header="0.3" footer="0.3"/>
  <pageSetup paperSize="9" orientation="portrait" r:id="rId1"/>
  <ignoredErrors>
    <ignoredError sqref="C8 D8:O8 P8:Q8 S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70"/>
  <sheetViews>
    <sheetView topLeftCell="A34" zoomScale="90" zoomScaleNormal="90" workbookViewId="0">
      <selection activeCell="A68" sqref="A68"/>
    </sheetView>
  </sheetViews>
  <sheetFormatPr baseColWidth="10" defaultColWidth="11.453125" defaultRowHeight="13" x14ac:dyDescent="0.3"/>
  <cols>
    <col min="1" max="1" width="2.453125" style="33" customWidth="1"/>
    <col min="2" max="2" width="17.7265625" style="33" bestFit="1" customWidth="1"/>
    <col min="3" max="3" width="34.26953125" style="33" customWidth="1"/>
    <col min="4" max="4" width="17.26953125" style="33" customWidth="1"/>
    <col min="5" max="5" width="11.453125" style="33"/>
    <col min="6" max="6" width="26.7265625" style="33" bestFit="1" customWidth="1"/>
    <col min="7" max="7" width="60" style="33" bestFit="1" customWidth="1"/>
    <col min="8" max="8" width="15.453125" style="33" customWidth="1"/>
    <col min="9" max="9" width="16.7265625" style="33" customWidth="1"/>
    <col min="10" max="10" width="16.26953125" style="33" customWidth="1"/>
    <col min="11" max="11" width="16.54296875" style="33" customWidth="1"/>
    <col min="12" max="12" width="12.7265625" style="33" customWidth="1"/>
    <col min="13" max="13" width="11.453125" style="33"/>
    <col min="14" max="14" width="16.26953125" style="33" customWidth="1"/>
    <col min="15" max="15" width="11.54296875" style="33" customWidth="1"/>
    <col min="16" max="16" width="12.7265625" style="33" customWidth="1"/>
    <col min="17" max="17" width="11.26953125" style="33" customWidth="1"/>
    <col min="18" max="18" width="14.7265625" style="33" customWidth="1"/>
    <col min="19" max="19" width="15.7265625" style="33" customWidth="1"/>
    <col min="20" max="20" width="11.453125" style="33"/>
    <col min="21" max="21" width="12.26953125" style="33" bestFit="1" customWidth="1"/>
    <col min="22" max="16384" width="11.453125" style="33"/>
  </cols>
  <sheetData>
    <row r="1" spans="2:20" ht="17.25" customHeight="1" x14ac:dyDescent="0.3">
      <c r="R1" s="34"/>
    </row>
    <row r="2" spans="2:20" ht="26.25" customHeight="1" x14ac:dyDescent="0.3">
      <c r="B2" s="35" t="s">
        <v>2</v>
      </c>
      <c r="C2" s="35" t="s">
        <v>3</v>
      </c>
      <c r="D2" s="35" t="s">
        <v>4</v>
      </c>
      <c r="E2" s="35" t="s">
        <v>5</v>
      </c>
      <c r="F2" s="35" t="s">
        <v>22</v>
      </c>
      <c r="G2" s="35" t="s">
        <v>6</v>
      </c>
      <c r="H2" s="35" t="s">
        <v>7</v>
      </c>
      <c r="I2" s="35" t="s">
        <v>8</v>
      </c>
      <c r="J2" s="35" t="s">
        <v>9</v>
      </c>
      <c r="K2" s="35" t="s">
        <v>10</v>
      </c>
      <c r="L2" s="35" t="s">
        <v>11</v>
      </c>
      <c r="M2" s="35" t="s">
        <v>12</v>
      </c>
      <c r="N2" s="35" t="s">
        <v>13</v>
      </c>
      <c r="O2" s="35" t="s">
        <v>14</v>
      </c>
      <c r="P2" s="35" t="s">
        <v>15</v>
      </c>
      <c r="Q2" s="35" t="s">
        <v>49</v>
      </c>
      <c r="R2" s="35" t="s">
        <v>52</v>
      </c>
      <c r="S2" s="35" t="s">
        <v>51</v>
      </c>
      <c r="T2" s="35" t="s">
        <v>92</v>
      </c>
    </row>
    <row r="3" spans="2:20" ht="15" customHeight="1" x14ac:dyDescent="0.35">
      <c r="B3" s="39" t="s">
        <v>70</v>
      </c>
      <c r="C3" s="40" t="s">
        <v>71</v>
      </c>
      <c r="D3" s="41" t="s">
        <v>55</v>
      </c>
      <c r="E3" s="39" t="s">
        <v>72</v>
      </c>
      <c r="F3" s="39" t="s">
        <v>73</v>
      </c>
      <c r="G3" s="42" t="s">
        <v>74</v>
      </c>
      <c r="H3" s="39" t="s">
        <v>75</v>
      </c>
      <c r="I3" s="43">
        <v>46049.69189814815</v>
      </c>
      <c r="J3" s="43">
        <v>46049.696828703702</v>
      </c>
      <c r="K3" s="44">
        <v>252101</v>
      </c>
      <c r="L3" s="44">
        <v>0</v>
      </c>
      <c r="M3" s="44">
        <v>0</v>
      </c>
      <c r="N3" s="44">
        <v>47899.19</v>
      </c>
      <c r="O3" s="44">
        <v>0</v>
      </c>
      <c r="P3" s="44">
        <v>300000.19</v>
      </c>
      <c r="Q3" s="42" t="s">
        <v>94</v>
      </c>
      <c r="R3" s="42" t="s">
        <v>94</v>
      </c>
      <c r="S3" s="45">
        <f>+P3</f>
        <v>300000.19</v>
      </c>
      <c r="T3" s="83" t="s">
        <v>93</v>
      </c>
    </row>
    <row r="4" spans="2:20" ht="15" customHeight="1" x14ac:dyDescent="0.35">
      <c r="B4" s="39" t="s">
        <v>76</v>
      </c>
      <c r="C4" s="40" t="s">
        <v>77</v>
      </c>
      <c r="D4" s="41" t="s">
        <v>55</v>
      </c>
      <c r="E4" s="39" t="s">
        <v>72</v>
      </c>
      <c r="F4" s="39" t="s">
        <v>73</v>
      </c>
      <c r="G4" s="42" t="s">
        <v>78</v>
      </c>
      <c r="H4" s="39" t="s">
        <v>79</v>
      </c>
      <c r="I4" s="43">
        <v>46045.481956018521</v>
      </c>
      <c r="J4" s="43">
        <v>46045.487280092595</v>
      </c>
      <c r="K4" s="44">
        <v>1316842</v>
      </c>
      <c r="L4" s="44">
        <v>0</v>
      </c>
      <c r="M4" s="44">
        <v>0</v>
      </c>
      <c r="N4" s="44">
        <v>250199.98</v>
      </c>
      <c r="O4" s="44">
        <v>0</v>
      </c>
      <c r="P4" s="44">
        <v>1567041.98</v>
      </c>
      <c r="Q4" s="42" t="s">
        <v>94</v>
      </c>
      <c r="R4" s="42" t="s">
        <v>94</v>
      </c>
      <c r="S4" s="45">
        <f t="shared" ref="S4:S7" si="0">+P4</f>
        <v>1567041.98</v>
      </c>
      <c r="T4" s="83" t="s">
        <v>93</v>
      </c>
    </row>
    <row r="5" spans="2:20" ht="15" customHeight="1" x14ac:dyDescent="0.35">
      <c r="B5" s="39" t="s">
        <v>80</v>
      </c>
      <c r="C5" s="40" t="s">
        <v>81</v>
      </c>
      <c r="D5" s="41" t="s">
        <v>55</v>
      </c>
      <c r="E5" s="39" t="s">
        <v>72</v>
      </c>
      <c r="F5" s="39" t="s">
        <v>73</v>
      </c>
      <c r="G5" s="42" t="s">
        <v>82</v>
      </c>
      <c r="H5" s="39" t="s">
        <v>83</v>
      </c>
      <c r="I5" s="43">
        <v>46038.687708333331</v>
      </c>
      <c r="J5" s="43">
        <v>46038.709131944444</v>
      </c>
      <c r="K5" s="44">
        <v>1020000</v>
      </c>
      <c r="L5" s="44">
        <v>0</v>
      </c>
      <c r="M5" s="44">
        <v>0</v>
      </c>
      <c r="N5" s="44">
        <v>193800</v>
      </c>
      <c r="O5" s="44">
        <v>0</v>
      </c>
      <c r="P5" s="44">
        <v>1213800</v>
      </c>
      <c r="Q5" s="42" t="s">
        <v>94</v>
      </c>
      <c r="R5" s="42" t="s">
        <v>94</v>
      </c>
      <c r="S5" s="45">
        <f t="shared" si="0"/>
        <v>1213800</v>
      </c>
      <c r="T5" s="83" t="s">
        <v>93</v>
      </c>
    </row>
    <row r="6" spans="2:20" ht="15" customHeight="1" x14ac:dyDescent="0.35">
      <c r="B6" s="39" t="s">
        <v>84</v>
      </c>
      <c r="C6" s="40" t="s">
        <v>85</v>
      </c>
      <c r="D6" s="41" t="s">
        <v>55</v>
      </c>
      <c r="E6" s="39" t="s">
        <v>72</v>
      </c>
      <c r="F6" s="39" t="s">
        <v>73</v>
      </c>
      <c r="G6" s="42" t="s">
        <v>86</v>
      </c>
      <c r="H6" s="39" t="s">
        <v>87</v>
      </c>
      <c r="I6" s="43">
        <v>46038.66909722222</v>
      </c>
      <c r="J6" s="43">
        <v>46038.701307870368</v>
      </c>
      <c r="K6" s="44">
        <v>415000</v>
      </c>
      <c r="L6" s="44">
        <v>0</v>
      </c>
      <c r="M6" s="44">
        <v>0</v>
      </c>
      <c r="N6" s="44">
        <v>78850</v>
      </c>
      <c r="O6" s="44">
        <v>0</v>
      </c>
      <c r="P6" s="44">
        <v>493850</v>
      </c>
      <c r="Q6" s="42" t="s">
        <v>94</v>
      </c>
      <c r="R6" s="42" t="s">
        <v>94</v>
      </c>
      <c r="S6" s="45">
        <f t="shared" si="0"/>
        <v>493850</v>
      </c>
      <c r="T6" s="83" t="s">
        <v>93</v>
      </c>
    </row>
    <row r="7" spans="2:20" ht="15" customHeight="1" x14ac:dyDescent="0.35">
      <c r="B7" s="39" t="s">
        <v>88</v>
      </c>
      <c r="C7" s="40" t="s">
        <v>89</v>
      </c>
      <c r="D7" s="41" t="s">
        <v>55</v>
      </c>
      <c r="E7" s="39" t="s">
        <v>72</v>
      </c>
      <c r="F7" s="39" t="s">
        <v>73</v>
      </c>
      <c r="G7" s="42" t="s">
        <v>90</v>
      </c>
      <c r="H7" s="39" t="s">
        <v>91</v>
      </c>
      <c r="I7" s="43">
        <v>46031.682650462964</v>
      </c>
      <c r="J7" s="43">
        <v>46031.690833333334</v>
      </c>
      <c r="K7" s="44">
        <v>520000</v>
      </c>
      <c r="L7" s="44">
        <v>0</v>
      </c>
      <c r="M7" s="44">
        <v>0</v>
      </c>
      <c r="N7" s="44">
        <v>98800</v>
      </c>
      <c r="O7" s="44">
        <v>0</v>
      </c>
      <c r="P7" s="44">
        <v>618800</v>
      </c>
      <c r="Q7" s="42" t="s">
        <v>94</v>
      </c>
      <c r="R7" s="42" t="s">
        <v>94</v>
      </c>
      <c r="S7" s="45">
        <f t="shared" si="0"/>
        <v>618800</v>
      </c>
      <c r="T7" s="83" t="s">
        <v>93</v>
      </c>
    </row>
    <row r="8" spans="2:20" ht="15" customHeight="1" thickBot="1" x14ac:dyDescent="0.35">
      <c r="B8" s="76" t="s">
        <v>54</v>
      </c>
      <c r="C8" s="49"/>
      <c r="D8" s="49">
        <f>COUNTA(D3:D7)</f>
        <v>5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77"/>
      <c r="Q8" s="49"/>
      <c r="R8" s="49"/>
      <c r="S8" s="86">
        <f>SUM(S3:S7)</f>
        <v>4193492.17</v>
      </c>
      <c r="T8" s="84"/>
    </row>
    <row r="9" spans="2:20" ht="15" customHeight="1" x14ac:dyDescent="0.35">
      <c r="B9" s="39" t="s">
        <v>97</v>
      </c>
      <c r="C9" s="40" t="s">
        <v>98</v>
      </c>
      <c r="D9" s="41" t="s">
        <v>55</v>
      </c>
      <c r="E9" s="39" t="s">
        <v>72</v>
      </c>
      <c r="F9" s="39" t="s">
        <v>73</v>
      </c>
      <c r="G9" s="42" t="s">
        <v>99</v>
      </c>
      <c r="H9" s="39" t="s">
        <v>100</v>
      </c>
      <c r="I9" s="43">
        <v>46072.550266203703</v>
      </c>
      <c r="J9" s="43">
        <v>46072.580358796295</v>
      </c>
      <c r="K9" s="44">
        <v>1206320</v>
      </c>
      <c r="L9" s="44">
        <v>0</v>
      </c>
      <c r="M9" s="44">
        <v>0</v>
      </c>
      <c r="N9" s="44">
        <v>229200.8</v>
      </c>
      <c r="O9" s="44">
        <v>0</v>
      </c>
      <c r="P9" s="44">
        <v>1435521</v>
      </c>
      <c r="Q9" s="42" t="s">
        <v>94</v>
      </c>
      <c r="R9" s="42" t="s">
        <v>94</v>
      </c>
      <c r="S9" s="45">
        <f>+P9</f>
        <v>1435521</v>
      </c>
      <c r="T9" s="83" t="s">
        <v>93</v>
      </c>
    </row>
    <row r="10" spans="2:20" ht="15" customHeight="1" x14ac:dyDescent="0.35">
      <c r="B10" s="39" t="s">
        <v>101</v>
      </c>
      <c r="C10" s="40" t="s">
        <v>102</v>
      </c>
      <c r="D10" s="41" t="s">
        <v>55</v>
      </c>
      <c r="E10" s="39" t="s">
        <v>72</v>
      </c>
      <c r="F10" s="39" t="s">
        <v>73</v>
      </c>
      <c r="G10" s="42" t="s">
        <v>103</v>
      </c>
      <c r="H10" s="39" t="s">
        <v>104</v>
      </c>
      <c r="I10" s="43">
        <v>46070.45826388889</v>
      </c>
      <c r="J10" s="43">
        <v>46070.464826388888</v>
      </c>
      <c r="K10" s="44">
        <v>1294000</v>
      </c>
      <c r="L10" s="44">
        <v>0</v>
      </c>
      <c r="M10" s="44">
        <v>0</v>
      </c>
      <c r="N10" s="44">
        <v>245860</v>
      </c>
      <c r="O10" s="44">
        <v>0</v>
      </c>
      <c r="P10" s="44">
        <v>1539860</v>
      </c>
      <c r="Q10" s="42" t="s">
        <v>94</v>
      </c>
      <c r="R10" s="42" t="s">
        <v>94</v>
      </c>
      <c r="S10" s="45">
        <f t="shared" ref="S10:S14" si="1">+P10</f>
        <v>1539860</v>
      </c>
      <c r="T10" s="83" t="s">
        <v>93</v>
      </c>
    </row>
    <row r="11" spans="2:20" ht="15" customHeight="1" x14ac:dyDescent="0.35">
      <c r="B11" s="39" t="s">
        <v>105</v>
      </c>
      <c r="C11" s="40" t="s">
        <v>106</v>
      </c>
      <c r="D11" s="41" t="s">
        <v>53</v>
      </c>
      <c r="E11" s="39" t="s">
        <v>72</v>
      </c>
      <c r="F11" s="39" t="s">
        <v>73</v>
      </c>
      <c r="G11" s="42" t="s">
        <v>107</v>
      </c>
      <c r="H11" s="39" t="s">
        <v>108</v>
      </c>
      <c r="I11" s="43">
        <v>46070.418009259258</v>
      </c>
      <c r="J11" s="43">
        <v>46070.447210648148</v>
      </c>
      <c r="K11" s="44">
        <v>53191</v>
      </c>
      <c r="L11" s="44">
        <v>0</v>
      </c>
      <c r="M11" s="44">
        <v>7814</v>
      </c>
      <c r="N11" s="44">
        <v>0</v>
      </c>
      <c r="O11" s="44">
        <v>0</v>
      </c>
      <c r="P11" s="44">
        <v>61005</v>
      </c>
      <c r="Q11" s="42" t="s">
        <v>94</v>
      </c>
      <c r="R11" s="42" t="s">
        <v>94</v>
      </c>
      <c r="S11" s="45">
        <f t="shared" si="1"/>
        <v>61005</v>
      </c>
      <c r="T11" s="83" t="s">
        <v>93</v>
      </c>
    </row>
    <row r="12" spans="2:20" ht="15" customHeight="1" x14ac:dyDescent="0.35">
      <c r="B12" s="39" t="s">
        <v>109</v>
      </c>
      <c r="C12" s="40" t="s">
        <v>110</v>
      </c>
      <c r="D12" s="41" t="s">
        <v>53</v>
      </c>
      <c r="E12" s="39" t="s">
        <v>72</v>
      </c>
      <c r="F12" s="39" t="s">
        <v>73</v>
      </c>
      <c r="G12" s="42" t="s">
        <v>107</v>
      </c>
      <c r="H12" s="39" t="s">
        <v>108</v>
      </c>
      <c r="I12" s="43">
        <v>46070.415266203701</v>
      </c>
      <c r="J12" s="43">
        <v>46070.446782407409</v>
      </c>
      <c r="K12" s="44">
        <v>45591</v>
      </c>
      <c r="L12" s="44">
        <v>0</v>
      </c>
      <c r="M12" s="44">
        <v>5956</v>
      </c>
      <c r="N12" s="44">
        <v>0</v>
      </c>
      <c r="O12" s="44">
        <v>0</v>
      </c>
      <c r="P12" s="44">
        <v>51547</v>
      </c>
      <c r="Q12" s="42" t="s">
        <v>94</v>
      </c>
      <c r="R12" s="42" t="s">
        <v>94</v>
      </c>
      <c r="S12" s="45">
        <f t="shared" si="1"/>
        <v>51547</v>
      </c>
      <c r="T12" s="83" t="s">
        <v>93</v>
      </c>
    </row>
    <row r="13" spans="2:20" ht="15" customHeight="1" x14ac:dyDescent="0.35">
      <c r="B13" s="39" t="s">
        <v>111</v>
      </c>
      <c r="C13" s="40" t="s">
        <v>112</v>
      </c>
      <c r="D13" s="41" t="s">
        <v>55</v>
      </c>
      <c r="E13" s="39" t="s">
        <v>72</v>
      </c>
      <c r="F13" s="39" t="s">
        <v>73</v>
      </c>
      <c r="G13" s="42" t="s">
        <v>113</v>
      </c>
      <c r="H13" s="39" t="s">
        <v>114</v>
      </c>
      <c r="I13" s="43">
        <v>46065.395636574074</v>
      </c>
      <c r="J13" s="43">
        <v>46065.516631944447</v>
      </c>
      <c r="K13" s="44">
        <v>457500</v>
      </c>
      <c r="L13" s="44">
        <v>0</v>
      </c>
      <c r="M13" s="44">
        <v>0</v>
      </c>
      <c r="N13" s="44">
        <v>86925</v>
      </c>
      <c r="O13" s="44">
        <v>0</v>
      </c>
      <c r="P13" s="44">
        <v>544425</v>
      </c>
      <c r="Q13" s="42" t="s">
        <v>94</v>
      </c>
      <c r="R13" s="42" t="s">
        <v>94</v>
      </c>
      <c r="S13" s="45">
        <f t="shared" si="1"/>
        <v>544425</v>
      </c>
      <c r="T13" s="83" t="s">
        <v>93</v>
      </c>
    </row>
    <row r="14" spans="2:20" ht="15" customHeight="1" x14ac:dyDescent="0.35">
      <c r="B14" s="39" t="s">
        <v>115</v>
      </c>
      <c r="C14" s="40" t="s">
        <v>116</v>
      </c>
      <c r="D14" s="41" t="s">
        <v>27</v>
      </c>
      <c r="E14" s="39" t="s">
        <v>72</v>
      </c>
      <c r="F14" s="39" t="s">
        <v>73</v>
      </c>
      <c r="G14" s="42" t="s">
        <v>117</v>
      </c>
      <c r="H14" s="39" t="s">
        <v>118</v>
      </c>
      <c r="I14" s="43">
        <v>46055.544803240744</v>
      </c>
      <c r="J14" s="43">
        <v>46055.570775462962</v>
      </c>
      <c r="K14" s="44">
        <v>198556050</v>
      </c>
      <c r="L14" s="44">
        <v>0</v>
      </c>
      <c r="M14" s="44">
        <v>0</v>
      </c>
      <c r="N14" s="44">
        <v>37725649.5</v>
      </c>
      <c r="O14" s="44">
        <v>0</v>
      </c>
      <c r="P14" s="44">
        <v>236281700</v>
      </c>
      <c r="Q14" s="42" t="s">
        <v>94</v>
      </c>
      <c r="R14" s="42" t="s">
        <v>94</v>
      </c>
      <c r="S14" s="45">
        <f t="shared" si="1"/>
        <v>236281700</v>
      </c>
      <c r="T14" s="83" t="s">
        <v>93</v>
      </c>
    </row>
    <row r="15" spans="2:20" ht="15" customHeight="1" thickBot="1" x14ac:dyDescent="0.35">
      <c r="B15" s="76" t="s">
        <v>96</v>
      </c>
      <c r="C15" s="49"/>
      <c r="D15" s="49">
        <f>COUNTA(D9:D14)</f>
        <v>6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77"/>
      <c r="Q15" s="49"/>
      <c r="R15" s="49"/>
      <c r="S15" s="86">
        <f>SUM(S9:S14)</f>
        <v>239914058</v>
      </c>
      <c r="T15" s="84"/>
    </row>
    <row r="16" spans="2:20" ht="15" customHeight="1" x14ac:dyDescent="0.35">
      <c r="B16" s="39" t="s">
        <v>120</v>
      </c>
      <c r="C16" s="40" t="s">
        <v>121</v>
      </c>
      <c r="D16" s="41" t="s">
        <v>0</v>
      </c>
      <c r="E16" s="39" t="s">
        <v>72</v>
      </c>
      <c r="F16" s="39" t="s">
        <v>73</v>
      </c>
      <c r="G16" s="42" t="s">
        <v>122</v>
      </c>
      <c r="H16" s="39" t="s">
        <v>123</v>
      </c>
      <c r="I16" s="43">
        <v>46104.440555555557</v>
      </c>
      <c r="J16" s="43">
        <v>46104.474374999998</v>
      </c>
      <c r="K16" s="44">
        <v>25210084</v>
      </c>
      <c r="L16" s="44">
        <v>0</v>
      </c>
      <c r="M16" s="44">
        <v>0</v>
      </c>
      <c r="N16" s="44">
        <v>4789915.96</v>
      </c>
      <c r="O16" s="44">
        <v>0</v>
      </c>
      <c r="P16" s="44">
        <v>29999999.960000001</v>
      </c>
      <c r="Q16" s="42" t="s">
        <v>94</v>
      </c>
      <c r="R16" s="42" t="s">
        <v>94</v>
      </c>
      <c r="S16" s="45">
        <f>+P16</f>
        <v>29999999.960000001</v>
      </c>
      <c r="T16" s="83" t="s">
        <v>219</v>
      </c>
    </row>
    <row r="17" spans="2:20" ht="15" customHeight="1" x14ac:dyDescent="0.35">
      <c r="B17" s="39" t="s">
        <v>124</v>
      </c>
      <c r="C17" s="40" t="s">
        <v>125</v>
      </c>
      <c r="D17" s="41" t="s">
        <v>55</v>
      </c>
      <c r="E17" s="39" t="s">
        <v>72</v>
      </c>
      <c r="F17" s="39" t="s">
        <v>73</v>
      </c>
      <c r="G17" s="42" t="s">
        <v>126</v>
      </c>
      <c r="H17" s="39" t="s">
        <v>127</v>
      </c>
      <c r="I17" s="43">
        <v>46093.477164351854</v>
      </c>
      <c r="J17" s="43">
        <v>46093.491770833331</v>
      </c>
      <c r="K17" s="44">
        <v>384000</v>
      </c>
      <c r="L17" s="44">
        <v>0</v>
      </c>
      <c r="M17" s="44">
        <v>0</v>
      </c>
      <c r="N17" s="44">
        <v>72960</v>
      </c>
      <c r="O17" s="44">
        <v>0</v>
      </c>
      <c r="P17" s="44">
        <v>456960</v>
      </c>
      <c r="Q17" s="42" t="s">
        <v>94</v>
      </c>
      <c r="R17" s="42" t="s">
        <v>94</v>
      </c>
      <c r="S17" s="45">
        <f t="shared" ref="S17:S18" si="2">+P17</f>
        <v>456960</v>
      </c>
      <c r="T17" s="83" t="s">
        <v>93</v>
      </c>
    </row>
    <row r="18" spans="2:20" ht="15" customHeight="1" x14ac:dyDescent="0.35">
      <c r="B18" s="39" t="s">
        <v>128</v>
      </c>
      <c r="C18" s="40" t="s">
        <v>129</v>
      </c>
      <c r="D18" s="41" t="s">
        <v>55</v>
      </c>
      <c r="E18" s="39" t="s">
        <v>72</v>
      </c>
      <c r="F18" s="39" t="s">
        <v>73</v>
      </c>
      <c r="G18" s="42" t="s">
        <v>130</v>
      </c>
      <c r="H18" s="39" t="s">
        <v>131</v>
      </c>
      <c r="I18" s="43">
        <v>46085.541030092594</v>
      </c>
      <c r="J18" s="43">
        <v>46085.551157407404</v>
      </c>
      <c r="K18" s="44">
        <v>416500</v>
      </c>
      <c r="L18" s="44">
        <v>0</v>
      </c>
      <c r="M18" s="44">
        <v>0</v>
      </c>
      <c r="N18" s="44">
        <v>79135</v>
      </c>
      <c r="O18" s="44">
        <v>0</v>
      </c>
      <c r="P18" s="44">
        <v>495635</v>
      </c>
      <c r="Q18" s="42" t="s">
        <v>94</v>
      </c>
      <c r="R18" s="42" t="s">
        <v>94</v>
      </c>
      <c r="S18" s="45">
        <f t="shared" si="2"/>
        <v>495635</v>
      </c>
      <c r="T18" s="83" t="s">
        <v>93</v>
      </c>
    </row>
    <row r="19" spans="2:20" ht="15" customHeight="1" thickBot="1" x14ac:dyDescent="0.35">
      <c r="B19" s="76" t="s">
        <v>119</v>
      </c>
      <c r="C19" s="49"/>
      <c r="D19" s="49">
        <f>COUNTA(D16:D18)</f>
        <v>3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77"/>
      <c r="Q19" s="49"/>
      <c r="R19" s="49"/>
      <c r="S19" s="86">
        <f>SUM(S16:S18)</f>
        <v>30952594.960000001</v>
      </c>
      <c r="T19" s="84"/>
    </row>
    <row r="20" spans="2:20" ht="15" customHeight="1" x14ac:dyDescent="0.35">
      <c r="B20" s="39" t="s">
        <v>133</v>
      </c>
      <c r="C20" s="40" t="s">
        <v>134</v>
      </c>
      <c r="D20" s="41" t="s">
        <v>55</v>
      </c>
      <c r="E20" s="39" t="s">
        <v>72</v>
      </c>
      <c r="F20" s="39" t="s">
        <v>73</v>
      </c>
      <c r="G20" s="42" t="s">
        <v>135</v>
      </c>
      <c r="H20" s="39" t="s">
        <v>136</v>
      </c>
      <c r="I20" s="43">
        <v>46139.460231481484</v>
      </c>
      <c r="J20" s="43">
        <v>46139.468182870369</v>
      </c>
      <c r="K20" s="44">
        <v>3960000</v>
      </c>
      <c r="L20" s="44">
        <v>0</v>
      </c>
      <c r="M20" s="44">
        <v>0</v>
      </c>
      <c r="N20" s="44">
        <v>0</v>
      </c>
      <c r="O20" s="44">
        <v>0</v>
      </c>
      <c r="P20" s="44">
        <v>3960000</v>
      </c>
      <c r="Q20" s="42" t="s">
        <v>94</v>
      </c>
      <c r="R20" s="42" t="s">
        <v>94</v>
      </c>
      <c r="S20" s="45">
        <f>+P20</f>
        <v>3960000</v>
      </c>
      <c r="T20" s="83" t="s">
        <v>93</v>
      </c>
    </row>
    <row r="21" spans="2:20" ht="15" customHeight="1" x14ac:dyDescent="0.35">
      <c r="B21" s="39" t="s">
        <v>137</v>
      </c>
      <c r="C21" s="40" t="s">
        <v>138</v>
      </c>
      <c r="D21" s="41" t="s">
        <v>55</v>
      </c>
      <c r="E21" s="39" t="s">
        <v>72</v>
      </c>
      <c r="F21" s="39" t="s">
        <v>73</v>
      </c>
      <c r="G21" s="42" t="s">
        <v>78</v>
      </c>
      <c r="H21" s="39" t="s">
        <v>79</v>
      </c>
      <c r="I21" s="43">
        <v>46139.402094907404</v>
      </c>
      <c r="J21" s="43">
        <v>46139.412175925929</v>
      </c>
      <c r="K21" s="44">
        <v>1597474</v>
      </c>
      <c r="L21" s="44">
        <v>0</v>
      </c>
      <c r="M21" s="44">
        <v>0</v>
      </c>
      <c r="N21" s="44">
        <v>303520.06</v>
      </c>
      <c r="O21" s="44">
        <v>0</v>
      </c>
      <c r="P21" s="44">
        <v>1900994.06</v>
      </c>
      <c r="Q21" s="42" t="s">
        <v>94</v>
      </c>
      <c r="R21" s="42" t="s">
        <v>94</v>
      </c>
      <c r="S21" s="45">
        <f t="shared" ref="S21:S27" si="3">+P21</f>
        <v>1900994.06</v>
      </c>
      <c r="T21" s="83" t="s">
        <v>93</v>
      </c>
    </row>
    <row r="22" spans="2:20" ht="15" customHeight="1" x14ac:dyDescent="0.35">
      <c r="B22" s="39" t="s">
        <v>139</v>
      </c>
      <c r="C22" s="40" t="s">
        <v>140</v>
      </c>
      <c r="D22" s="41" t="s">
        <v>55</v>
      </c>
      <c r="E22" s="39" t="s">
        <v>72</v>
      </c>
      <c r="F22" s="39" t="s">
        <v>73</v>
      </c>
      <c r="G22" s="42" t="s">
        <v>78</v>
      </c>
      <c r="H22" s="39" t="s">
        <v>79</v>
      </c>
      <c r="I22" s="43">
        <v>46135.68608796296</v>
      </c>
      <c r="J22" s="43">
        <v>46135.692650462966</v>
      </c>
      <c r="K22" s="44">
        <v>2173138</v>
      </c>
      <c r="L22" s="44">
        <v>0</v>
      </c>
      <c r="M22" s="44">
        <v>0</v>
      </c>
      <c r="N22" s="44">
        <v>412896.22</v>
      </c>
      <c r="O22" s="44">
        <v>0</v>
      </c>
      <c r="P22" s="44">
        <v>2586034.2200000002</v>
      </c>
      <c r="Q22" s="42" t="s">
        <v>94</v>
      </c>
      <c r="R22" s="42" t="s">
        <v>94</v>
      </c>
      <c r="S22" s="45">
        <f t="shared" si="3"/>
        <v>2586034.2200000002</v>
      </c>
      <c r="T22" s="83" t="s">
        <v>93</v>
      </c>
    </row>
    <row r="23" spans="2:20" ht="15" customHeight="1" x14ac:dyDescent="0.35">
      <c r="B23" s="39" t="s">
        <v>141</v>
      </c>
      <c r="C23" s="40" t="s">
        <v>142</v>
      </c>
      <c r="D23" s="41" t="s">
        <v>55</v>
      </c>
      <c r="E23" s="39" t="s">
        <v>72</v>
      </c>
      <c r="F23" s="39" t="s">
        <v>73</v>
      </c>
      <c r="G23" s="42" t="s">
        <v>143</v>
      </c>
      <c r="H23" s="39" t="s">
        <v>144</v>
      </c>
      <c r="I23" s="43">
        <v>46121.504907407405</v>
      </c>
      <c r="J23" s="43">
        <v>46121.528564814813</v>
      </c>
      <c r="K23" s="44">
        <v>572666</v>
      </c>
      <c r="L23" s="44">
        <v>0</v>
      </c>
      <c r="M23" s="44">
        <v>25000</v>
      </c>
      <c r="N23" s="44">
        <v>113556.54</v>
      </c>
      <c r="O23" s="44">
        <v>0</v>
      </c>
      <c r="P23" s="44">
        <v>711222.54</v>
      </c>
      <c r="Q23" s="42" t="s">
        <v>94</v>
      </c>
      <c r="R23" s="42" t="s">
        <v>94</v>
      </c>
      <c r="S23" s="45">
        <f t="shared" si="3"/>
        <v>711222.54</v>
      </c>
      <c r="T23" s="83" t="s">
        <v>93</v>
      </c>
    </row>
    <row r="24" spans="2:20" ht="15" customHeight="1" x14ac:dyDescent="0.35">
      <c r="B24" s="39" t="s">
        <v>145</v>
      </c>
      <c r="C24" s="40" t="s">
        <v>146</v>
      </c>
      <c r="D24" s="41" t="s">
        <v>55</v>
      </c>
      <c r="E24" s="39" t="s">
        <v>72</v>
      </c>
      <c r="F24" s="39" t="s">
        <v>73</v>
      </c>
      <c r="G24" s="42" t="s">
        <v>147</v>
      </c>
      <c r="H24" s="39" t="s">
        <v>148</v>
      </c>
      <c r="I24" s="43">
        <v>46120.643622685187</v>
      </c>
      <c r="J24" s="43">
        <v>46120.662627314814</v>
      </c>
      <c r="K24" s="44">
        <v>546219</v>
      </c>
      <c r="L24" s="44">
        <v>0</v>
      </c>
      <c r="M24" s="44">
        <v>0</v>
      </c>
      <c r="N24" s="44">
        <v>103781.61</v>
      </c>
      <c r="O24" s="44">
        <v>0</v>
      </c>
      <c r="P24" s="44">
        <v>650000.61</v>
      </c>
      <c r="Q24" s="42" t="s">
        <v>94</v>
      </c>
      <c r="R24" s="42" t="s">
        <v>94</v>
      </c>
      <c r="S24" s="45">
        <f t="shared" si="3"/>
        <v>650000.61</v>
      </c>
      <c r="T24" s="83" t="s">
        <v>93</v>
      </c>
    </row>
    <row r="25" spans="2:20" ht="15" customHeight="1" x14ac:dyDescent="0.35">
      <c r="B25" s="39" t="s">
        <v>149</v>
      </c>
      <c r="C25" s="40" t="s">
        <v>150</v>
      </c>
      <c r="D25" s="41" t="s">
        <v>55</v>
      </c>
      <c r="E25" s="39" t="s">
        <v>72</v>
      </c>
      <c r="F25" s="39" t="s">
        <v>73</v>
      </c>
      <c r="G25" s="42" t="s">
        <v>151</v>
      </c>
      <c r="H25" s="39" t="s">
        <v>152</v>
      </c>
      <c r="I25" s="43">
        <v>46118.721296296295</v>
      </c>
      <c r="J25" s="43">
        <v>46118.726446759261</v>
      </c>
      <c r="K25" s="44">
        <v>705740</v>
      </c>
      <c r="L25" s="44">
        <v>0</v>
      </c>
      <c r="M25" s="44">
        <v>0</v>
      </c>
      <c r="N25" s="44">
        <v>134090.6</v>
      </c>
      <c r="O25" s="44">
        <v>0</v>
      </c>
      <c r="P25" s="44">
        <v>839830.6</v>
      </c>
      <c r="Q25" s="42" t="s">
        <v>94</v>
      </c>
      <c r="R25" s="42" t="s">
        <v>94</v>
      </c>
      <c r="S25" s="45">
        <f t="shared" si="3"/>
        <v>839830.6</v>
      </c>
      <c r="T25" s="83" t="s">
        <v>93</v>
      </c>
    </row>
    <row r="26" spans="2:20" ht="15" customHeight="1" x14ac:dyDescent="0.35">
      <c r="B26" s="39" t="s">
        <v>153</v>
      </c>
      <c r="C26" s="40" t="s">
        <v>154</v>
      </c>
      <c r="D26" s="41" t="s">
        <v>55</v>
      </c>
      <c r="E26" s="39" t="s">
        <v>72</v>
      </c>
      <c r="F26" s="39" t="s">
        <v>73</v>
      </c>
      <c r="G26" s="42" t="s">
        <v>155</v>
      </c>
      <c r="H26" s="39" t="s">
        <v>156</v>
      </c>
      <c r="I26" s="43">
        <v>46114.516840277778</v>
      </c>
      <c r="J26" s="43">
        <v>46114.558692129627</v>
      </c>
      <c r="K26" s="44">
        <v>702000</v>
      </c>
      <c r="L26" s="44">
        <v>0</v>
      </c>
      <c r="M26" s="44">
        <v>0</v>
      </c>
      <c r="N26" s="44">
        <v>133380</v>
      </c>
      <c r="O26" s="44">
        <v>0</v>
      </c>
      <c r="P26" s="44">
        <v>835380</v>
      </c>
      <c r="Q26" s="42" t="s">
        <v>94</v>
      </c>
      <c r="R26" s="42" t="s">
        <v>94</v>
      </c>
      <c r="S26" s="45">
        <f t="shared" si="3"/>
        <v>835380</v>
      </c>
      <c r="T26" s="83" t="s">
        <v>93</v>
      </c>
    </row>
    <row r="27" spans="2:20" ht="15" customHeight="1" x14ac:dyDescent="0.35">
      <c r="B27" s="39" t="s">
        <v>157</v>
      </c>
      <c r="C27" s="40" t="s">
        <v>158</v>
      </c>
      <c r="D27" s="41" t="s">
        <v>55</v>
      </c>
      <c r="E27" s="39" t="s">
        <v>72</v>
      </c>
      <c r="F27" s="39" t="s">
        <v>73</v>
      </c>
      <c r="G27" s="42" t="s">
        <v>159</v>
      </c>
      <c r="H27" s="39" t="s">
        <v>160</v>
      </c>
      <c r="I27" s="43">
        <v>46114.513865740744</v>
      </c>
      <c r="J27" s="43">
        <v>46114.54587962963</v>
      </c>
      <c r="K27" s="44">
        <v>2800000</v>
      </c>
      <c r="L27" s="44">
        <v>0</v>
      </c>
      <c r="M27" s="44">
        <v>0</v>
      </c>
      <c r="N27" s="44">
        <v>532000</v>
      </c>
      <c r="O27" s="44">
        <v>0</v>
      </c>
      <c r="P27" s="44">
        <v>3332000</v>
      </c>
      <c r="Q27" s="42" t="s">
        <v>94</v>
      </c>
      <c r="R27" s="42" t="s">
        <v>94</v>
      </c>
      <c r="S27" s="45">
        <f t="shared" si="3"/>
        <v>3332000</v>
      </c>
      <c r="T27" s="83" t="s">
        <v>93</v>
      </c>
    </row>
    <row r="28" spans="2:20" ht="15" customHeight="1" thickBot="1" x14ac:dyDescent="0.35">
      <c r="B28" s="76" t="s">
        <v>132</v>
      </c>
      <c r="C28" s="49"/>
      <c r="D28" s="49">
        <f>COUNTA(D20:D27)</f>
        <v>8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77"/>
      <c r="Q28" s="49"/>
      <c r="R28" s="49"/>
      <c r="S28" s="86">
        <f>SUM(S20:S27)</f>
        <v>14815462.029999999</v>
      </c>
      <c r="T28" s="84"/>
    </row>
    <row r="29" spans="2:20" ht="15" customHeight="1" x14ac:dyDescent="0.35">
      <c r="B29" s="39" t="s">
        <v>163</v>
      </c>
      <c r="C29" s="40" t="s">
        <v>164</v>
      </c>
      <c r="D29" s="41" t="s">
        <v>55</v>
      </c>
      <c r="E29" s="39" t="s">
        <v>72</v>
      </c>
      <c r="F29" s="39" t="s">
        <v>73</v>
      </c>
      <c r="G29" s="42" t="s">
        <v>165</v>
      </c>
      <c r="H29" s="39" t="s">
        <v>166</v>
      </c>
      <c r="I29" s="43">
        <v>46167.514178240737</v>
      </c>
      <c r="J29" s="43">
        <v>46167.533773148149</v>
      </c>
      <c r="K29" s="44">
        <v>1399720</v>
      </c>
      <c r="L29" s="44">
        <v>0</v>
      </c>
      <c r="M29" s="44">
        <v>0</v>
      </c>
      <c r="N29" s="44">
        <v>265946.8</v>
      </c>
      <c r="O29" s="44">
        <v>0</v>
      </c>
      <c r="P29" s="44">
        <v>1665666.8</v>
      </c>
      <c r="Q29" s="42" t="s">
        <v>94</v>
      </c>
      <c r="R29" s="42" t="s">
        <v>94</v>
      </c>
      <c r="S29" s="45">
        <f>+P29</f>
        <v>1665666.8</v>
      </c>
      <c r="T29" s="83" t="s">
        <v>93</v>
      </c>
    </row>
    <row r="30" spans="2:20" ht="15" customHeight="1" x14ac:dyDescent="0.35">
      <c r="B30" s="39" t="s">
        <v>167</v>
      </c>
      <c r="C30" s="40" t="s">
        <v>168</v>
      </c>
      <c r="D30" s="41" t="s">
        <v>55</v>
      </c>
      <c r="E30" s="39" t="s">
        <v>72</v>
      </c>
      <c r="F30" s="39" t="s">
        <v>73</v>
      </c>
      <c r="G30" s="42" t="s">
        <v>169</v>
      </c>
      <c r="H30" s="39" t="s">
        <v>170</v>
      </c>
      <c r="I30" s="43">
        <v>46156.399247685185</v>
      </c>
      <c r="J30" s="43">
        <v>46156.415520833332</v>
      </c>
      <c r="K30" s="44">
        <v>619400</v>
      </c>
      <c r="L30" s="44">
        <v>0</v>
      </c>
      <c r="M30" s="44">
        <v>0</v>
      </c>
      <c r="N30" s="44">
        <v>117686</v>
      </c>
      <c r="O30" s="44">
        <v>0</v>
      </c>
      <c r="P30" s="44">
        <v>737086</v>
      </c>
      <c r="Q30" s="42" t="s">
        <v>94</v>
      </c>
      <c r="R30" s="42" t="s">
        <v>94</v>
      </c>
      <c r="S30" s="45">
        <f t="shared" ref="S30:S32" si="4">+P30</f>
        <v>737086</v>
      </c>
      <c r="T30" s="83" t="s">
        <v>93</v>
      </c>
    </row>
    <row r="31" spans="2:20" ht="15" customHeight="1" x14ac:dyDescent="0.35">
      <c r="B31" s="39" t="s">
        <v>171</v>
      </c>
      <c r="C31" s="40" t="s">
        <v>172</v>
      </c>
      <c r="D31" s="41" t="s">
        <v>55</v>
      </c>
      <c r="E31" s="39" t="s">
        <v>72</v>
      </c>
      <c r="F31" s="39" t="s">
        <v>73</v>
      </c>
      <c r="G31" s="42" t="s">
        <v>173</v>
      </c>
      <c r="H31" s="39" t="s">
        <v>174</v>
      </c>
      <c r="I31" s="43">
        <v>46154.69703703704</v>
      </c>
      <c r="J31" s="43">
        <v>46154.718171296299</v>
      </c>
      <c r="K31" s="44">
        <v>265000</v>
      </c>
      <c r="L31" s="44">
        <v>0</v>
      </c>
      <c r="M31" s="44">
        <v>0</v>
      </c>
      <c r="N31" s="44">
        <v>50350</v>
      </c>
      <c r="O31" s="44">
        <v>0</v>
      </c>
      <c r="P31" s="44">
        <v>315350</v>
      </c>
      <c r="Q31" s="42" t="s">
        <v>94</v>
      </c>
      <c r="R31" s="42" t="s">
        <v>94</v>
      </c>
      <c r="S31" s="45">
        <f t="shared" si="4"/>
        <v>315350</v>
      </c>
      <c r="T31" s="83" t="s">
        <v>93</v>
      </c>
    </row>
    <row r="32" spans="2:20" ht="15" customHeight="1" x14ac:dyDescent="0.35">
      <c r="B32" s="39" t="s">
        <v>175</v>
      </c>
      <c r="C32" s="40" t="s">
        <v>176</v>
      </c>
      <c r="D32" s="41" t="s">
        <v>55</v>
      </c>
      <c r="E32" s="39" t="s">
        <v>72</v>
      </c>
      <c r="F32" s="39" t="s">
        <v>73</v>
      </c>
      <c r="G32" s="42" t="s">
        <v>177</v>
      </c>
      <c r="H32" s="39" t="s">
        <v>178</v>
      </c>
      <c r="I32" s="43">
        <v>46146.695717592593</v>
      </c>
      <c r="J32" s="43">
        <v>46146.705300925925</v>
      </c>
      <c r="K32" s="44">
        <v>520800</v>
      </c>
      <c r="L32" s="44">
        <v>0</v>
      </c>
      <c r="M32" s="44">
        <v>0</v>
      </c>
      <c r="N32" s="44">
        <v>98952</v>
      </c>
      <c r="O32" s="44">
        <v>0</v>
      </c>
      <c r="P32" s="44">
        <v>619752</v>
      </c>
      <c r="Q32" s="42" t="s">
        <v>94</v>
      </c>
      <c r="R32" s="42" t="s">
        <v>94</v>
      </c>
      <c r="S32" s="45">
        <f t="shared" si="4"/>
        <v>619752</v>
      </c>
      <c r="T32" s="83" t="s">
        <v>93</v>
      </c>
    </row>
    <row r="33" spans="2:20" ht="15" customHeight="1" thickBot="1" x14ac:dyDescent="0.35">
      <c r="B33" s="76" t="s">
        <v>162</v>
      </c>
      <c r="C33" s="49"/>
      <c r="D33" s="49">
        <f>COUNTA(D29:D32)</f>
        <v>4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77"/>
      <c r="Q33" s="49"/>
      <c r="R33" s="49"/>
      <c r="S33" s="86">
        <f>SUM(S29:S32)</f>
        <v>3337854.8</v>
      </c>
      <c r="T33" s="84"/>
    </row>
    <row r="34" spans="2:20" ht="15" customHeight="1" x14ac:dyDescent="0.35">
      <c r="B34" s="39" t="s">
        <v>183</v>
      </c>
      <c r="C34" s="40" t="s">
        <v>184</v>
      </c>
      <c r="D34" s="41" t="s">
        <v>0</v>
      </c>
      <c r="E34" s="39" t="s">
        <v>218</v>
      </c>
      <c r="F34" s="39" t="s">
        <v>73</v>
      </c>
      <c r="G34" s="42" t="s">
        <v>185</v>
      </c>
      <c r="H34" s="39" t="s">
        <v>186</v>
      </c>
      <c r="I34" s="43">
        <v>46199.634722222225</v>
      </c>
      <c r="J34" s="43">
        <v>46199.655462962961</v>
      </c>
      <c r="K34" s="44">
        <v>30650436</v>
      </c>
      <c r="L34" s="44">
        <v>0</v>
      </c>
      <c r="M34" s="44">
        <v>0</v>
      </c>
      <c r="N34" s="44">
        <v>5823582.8399999999</v>
      </c>
      <c r="O34" s="44">
        <v>0</v>
      </c>
      <c r="P34" s="44">
        <v>36474018.840000004</v>
      </c>
      <c r="Q34" s="42" t="s">
        <v>94</v>
      </c>
      <c r="R34" s="42" t="s">
        <v>94</v>
      </c>
      <c r="S34" s="45">
        <f>+P34</f>
        <v>36474018.840000004</v>
      </c>
      <c r="T34" s="83" t="s">
        <v>219</v>
      </c>
    </row>
    <row r="35" spans="2:20" ht="15" customHeight="1" x14ac:dyDescent="0.35">
      <c r="B35" s="39" t="s">
        <v>187</v>
      </c>
      <c r="C35" s="40" t="s">
        <v>188</v>
      </c>
      <c r="D35" s="41" t="s">
        <v>55</v>
      </c>
      <c r="E35" s="39" t="s">
        <v>72</v>
      </c>
      <c r="F35" s="39" t="s">
        <v>73</v>
      </c>
      <c r="G35" s="42" t="s">
        <v>189</v>
      </c>
      <c r="H35" s="39" t="s">
        <v>190</v>
      </c>
      <c r="I35" s="43">
        <v>46198.39634259259</v>
      </c>
      <c r="J35" s="43">
        <v>46198.432256944441</v>
      </c>
      <c r="K35" s="44">
        <v>5042017</v>
      </c>
      <c r="L35" s="44">
        <v>0</v>
      </c>
      <c r="M35" s="44">
        <v>0</v>
      </c>
      <c r="N35" s="44">
        <v>957983.23</v>
      </c>
      <c r="O35" s="44">
        <v>0</v>
      </c>
      <c r="P35" s="44">
        <v>6000000.2300000004</v>
      </c>
      <c r="Q35" s="42" t="s">
        <v>94</v>
      </c>
      <c r="R35" s="42" t="s">
        <v>94</v>
      </c>
      <c r="S35" s="45">
        <f t="shared" ref="S35:S43" si="5">+P35</f>
        <v>6000000.2300000004</v>
      </c>
      <c r="T35" s="83" t="s">
        <v>93</v>
      </c>
    </row>
    <row r="36" spans="2:20" ht="15" customHeight="1" x14ac:dyDescent="0.35">
      <c r="B36" s="39" t="s">
        <v>191</v>
      </c>
      <c r="C36" s="40" t="s">
        <v>116</v>
      </c>
      <c r="D36" s="41" t="s">
        <v>27</v>
      </c>
      <c r="E36" s="39" t="s">
        <v>72</v>
      </c>
      <c r="F36" s="39" t="s">
        <v>73</v>
      </c>
      <c r="G36" s="42" t="s">
        <v>117</v>
      </c>
      <c r="H36" s="39" t="s">
        <v>118</v>
      </c>
      <c r="I36" s="43">
        <v>46197.401134259257</v>
      </c>
      <c r="J36" s="43">
        <v>46197.417870370373</v>
      </c>
      <c r="K36" s="44">
        <v>3460828.5</v>
      </c>
      <c r="L36" s="44">
        <v>0</v>
      </c>
      <c r="M36" s="44">
        <v>0</v>
      </c>
      <c r="N36" s="44">
        <v>657557.41500000004</v>
      </c>
      <c r="O36" s="44">
        <v>0</v>
      </c>
      <c r="P36" s="44">
        <v>4118385.915</v>
      </c>
      <c r="Q36" s="42" t="s">
        <v>94</v>
      </c>
      <c r="R36" s="42" t="s">
        <v>94</v>
      </c>
      <c r="S36" s="45">
        <f t="shared" si="5"/>
        <v>4118385.915</v>
      </c>
      <c r="T36" s="83" t="s">
        <v>93</v>
      </c>
    </row>
    <row r="37" spans="2:20" ht="15" customHeight="1" x14ac:dyDescent="0.35">
      <c r="B37" s="39" t="s">
        <v>192</v>
      </c>
      <c r="C37" s="40" t="s">
        <v>193</v>
      </c>
      <c r="D37" s="41" t="s">
        <v>0</v>
      </c>
      <c r="E37" s="39" t="s">
        <v>72</v>
      </c>
      <c r="F37" s="39" t="s">
        <v>73</v>
      </c>
      <c r="G37" s="42" t="s">
        <v>194</v>
      </c>
      <c r="H37" s="39" t="s">
        <v>195</v>
      </c>
      <c r="I37" s="43">
        <v>46195.376608796294</v>
      </c>
      <c r="J37" s="43">
        <v>46195.380624999998</v>
      </c>
      <c r="K37" s="44">
        <v>25210084</v>
      </c>
      <c r="L37" s="44">
        <v>0</v>
      </c>
      <c r="M37" s="44">
        <v>0</v>
      </c>
      <c r="N37" s="44">
        <v>4789915.96</v>
      </c>
      <c r="O37" s="44">
        <v>0</v>
      </c>
      <c r="P37" s="44">
        <v>29999999.960000001</v>
      </c>
      <c r="Q37" s="42" t="s">
        <v>94</v>
      </c>
      <c r="R37" s="42" t="s">
        <v>94</v>
      </c>
      <c r="S37" s="45">
        <f t="shared" si="5"/>
        <v>29999999.960000001</v>
      </c>
      <c r="T37" s="83" t="s">
        <v>219</v>
      </c>
    </row>
    <row r="38" spans="2:20" ht="15" customHeight="1" x14ac:dyDescent="0.35">
      <c r="B38" s="39" t="s">
        <v>196</v>
      </c>
      <c r="C38" s="40" t="s">
        <v>197</v>
      </c>
      <c r="D38" s="41" t="s">
        <v>55</v>
      </c>
      <c r="E38" s="39" t="s">
        <v>72</v>
      </c>
      <c r="F38" s="39" t="s">
        <v>73</v>
      </c>
      <c r="G38" s="42" t="s">
        <v>198</v>
      </c>
      <c r="H38" s="39" t="s">
        <v>199</v>
      </c>
      <c r="I38" s="43">
        <v>46192.513414351852</v>
      </c>
      <c r="J38" s="43">
        <v>46192.524108796293</v>
      </c>
      <c r="K38" s="44">
        <v>4329807</v>
      </c>
      <c r="L38" s="44">
        <v>0</v>
      </c>
      <c r="M38" s="44">
        <v>0</v>
      </c>
      <c r="N38" s="44">
        <v>822663.33</v>
      </c>
      <c r="O38" s="44">
        <v>0</v>
      </c>
      <c r="P38" s="44">
        <v>5152470.33</v>
      </c>
      <c r="Q38" s="42" t="s">
        <v>94</v>
      </c>
      <c r="R38" s="42" t="s">
        <v>94</v>
      </c>
      <c r="S38" s="45">
        <f t="shared" si="5"/>
        <v>5152470.33</v>
      </c>
      <c r="T38" s="83" t="s">
        <v>93</v>
      </c>
    </row>
    <row r="39" spans="2:20" ht="15" customHeight="1" x14ac:dyDescent="0.35">
      <c r="B39" s="39" t="s">
        <v>200</v>
      </c>
      <c r="C39" s="40" t="s">
        <v>201</v>
      </c>
      <c r="D39" s="41" t="s">
        <v>55</v>
      </c>
      <c r="E39" s="39" t="s">
        <v>72</v>
      </c>
      <c r="F39" s="39" t="s">
        <v>73</v>
      </c>
      <c r="G39" s="42" t="s">
        <v>202</v>
      </c>
      <c r="H39" s="39" t="s">
        <v>203</v>
      </c>
      <c r="I39" s="43">
        <v>46185.457627314812</v>
      </c>
      <c r="J39" s="43">
        <v>46185.486840277779</v>
      </c>
      <c r="K39" s="44">
        <v>400000</v>
      </c>
      <c r="L39" s="44">
        <v>0</v>
      </c>
      <c r="M39" s="44">
        <v>0</v>
      </c>
      <c r="N39" s="44">
        <v>76000</v>
      </c>
      <c r="O39" s="44">
        <v>0</v>
      </c>
      <c r="P39" s="44">
        <v>476000</v>
      </c>
      <c r="Q39" s="42" t="s">
        <v>94</v>
      </c>
      <c r="R39" s="42" t="s">
        <v>94</v>
      </c>
      <c r="S39" s="45">
        <f t="shared" si="5"/>
        <v>476000</v>
      </c>
      <c r="T39" s="83" t="s">
        <v>93</v>
      </c>
    </row>
    <row r="40" spans="2:20" ht="15" customHeight="1" x14ac:dyDescent="0.35">
      <c r="B40" s="39" t="s">
        <v>204</v>
      </c>
      <c r="C40" s="40" t="s">
        <v>205</v>
      </c>
      <c r="D40" s="41" t="s">
        <v>53</v>
      </c>
      <c r="E40" s="39" t="s">
        <v>72</v>
      </c>
      <c r="F40" s="39" t="s">
        <v>73</v>
      </c>
      <c r="G40" s="42" t="s">
        <v>107</v>
      </c>
      <c r="H40" s="39" t="s">
        <v>108</v>
      </c>
      <c r="I40" s="43">
        <v>46183.512708333335</v>
      </c>
      <c r="J40" s="43">
        <v>46183.52847222222</v>
      </c>
      <c r="K40" s="44">
        <v>171029</v>
      </c>
      <c r="L40" s="44">
        <v>0</v>
      </c>
      <c r="M40" s="44">
        <v>15846</v>
      </c>
      <c r="N40" s="44">
        <v>0</v>
      </c>
      <c r="O40" s="44">
        <v>0</v>
      </c>
      <c r="P40" s="44">
        <v>186875</v>
      </c>
      <c r="Q40" s="42" t="s">
        <v>94</v>
      </c>
      <c r="R40" s="42" t="s">
        <v>94</v>
      </c>
      <c r="S40" s="45">
        <f t="shared" si="5"/>
        <v>186875</v>
      </c>
      <c r="T40" s="83" t="s">
        <v>93</v>
      </c>
    </row>
    <row r="41" spans="2:20" ht="15" customHeight="1" x14ac:dyDescent="0.35">
      <c r="B41" s="39" t="s">
        <v>206</v>
      </c>
      <c r="C41" s="40" t="s">
        <v>207</v>
      </c>
      <c r="D41" s="41" t="s">
        <v>55</v>
      </c>
      <c r="E41" s="39" t="s">
        <v>72</v>
      </c>
      <c r="F41" s="39" t="s">
        <v>73</v>
      </c>
      <c r="G41" s="42" t="s">
        <v>208</v>
      </c>
      <c r="H41" s="39" t="s">
        <v>209</v>
      </c>
      <c r="I41" s="43">
        <v>46178.407141203701</v>
      </c>
      <c r="J41" s="43">
        <v>46178.411979166667</v>
      </c>
      <c r="K41" s="44">
        <v>105042</v>
      </c>
      <c r="L41" s="44">
        <v>0</v>
      </c>
      <c r="M41" s="44">
        <v>0</v>
      </c>
      <c r="N41" s="44">
        <v>19957.98</v>
      </c>
      <c r="O41" s="44">
        <v>0</v>
      </c>
      <c r="P41" s="44">
        <v>124999.98</v>
      </c>
      <c r="Q41" s="42" t="s">
        <v>94</v>
      </c>
      <c r="R41" s="42" t="s">
        <v>94</v>
      </c>
      <c r="S41" s="45">
        <f t="shared" si="5"/>
        <v>124999.98</v>
      </c>
      <c r="T41" s="83" t="s">
        <v>93</v>
      </c>
    </row>
    <row r="42" spans="2:20" ht="15" customHeight="1" x14ac:dyDescent="0.35">
      <c r="B42" s="39" t="s">
        <v>210</v>
      </c>
      <c r="C42" s="40" t="s">
        <v>211</v>
      </c>
      <c r="D42" s="41" t="s">
        <v>55</v>
      </c>
      <c r="E42" s="39" t="s">
        <v>72</v>
      </c>
      <c r="F42" s="39" t="s">
        <v>73</v>
      </c>
      <c r="G42" s="42" t="s">
        <v>212</v>
      </c>
      <c r="H42" s="39" t="s">
        <v>213</v>
      </c>
      <c r="I42" s="43">
        <v>46174.461157407408</v>
      </c>
      <c r="J42" s="43">
        <v>46174.522256944445</v>
      </c>
      <c r="K42" s="44">
        <v>830000</v>
      </c>
      <c r="L42" s="44">
        <v>0</v>
      </c>
      <c r="M42" s="44">
        <v>0</v>
      </c>
      <c r="N42" s="44">
        <v>157700</v>
      </c>
      <c r="O42" s="44">
        <v>0</v>
      </c>
      <c r="P42" s="44">
        <v>987700</v>
      </c>
      <c r="Q42" s="42" t="s">
        <v>94</v>
      </c>
      <c r="R42" s="42" t="s">
        <v>94</v>
      </c>
      <c r="S42" s="45">
        <f t="shared" si="5"/>
        <v>987700</v>
      </c>
      <c r="T42" s="83" t="s">
        <v>93</v>
      </c>
    </row>
    <row r="43" spans="2:20" ht="15" customHeight="1" x14ac:dyDescent="0.35">
      <c r="B43" s="39" t="s">
        <v>214</v>
      </c>
      <c r="C43" s="40" t="s">
        <v>215</v>
      </c>
      <c r="D43" s="41" t="s">
        <v>55</v>
      </c>
      <c r="E43" s="39" t="s">
        <v>72</v>
      </c>
      <c r="F43" s="39" t="s">
        <v>73</v>
      </c>
      <c r="G43" s="42" t="s">
        <v>216</v>
      </c>
      <c r="H43" s="39" t="s">
        <v>217</v>
      </c>
      <c r="I43" s="43">
        <v>46174.389189814814</v>
      </c>
      <c r="J43" s="43">
        <v>46174.394814814812</v>
      </c>
      <c r="K43" s="44">
        <v>600000</v>
      </c>
      <c r="L43" s="44">
        <v>0</v>
      </c>
      <c r="M43" s="44">
        <v>0</v>
      </c>
      <c r="N43" s="44">
        <v>114000</v>
      </c>
      <c r="O43" s="44">
        <v>0</v>
      </c>
      <c r="P43" s="44">
        <v>714000</v>
      </c>
      <c r="Q43" s="42" t="s">
        <v>94</v>
      </c>
      <c r="R43" s="42" t="s">
        <v>94</v>
      </c>
      <c r="S43" s="45">
        <f t="shared" si="5"/>
        <v>714000</v>
      </c>
      <c r="T43" s="83" t="s">
        <v>93</v>
      </c>
    </row>
    <row r="44" spans="2:20" ht="15" customHeight="1" thickBot="1" x14ac:dyDescent="0.35">
      <c r="B44" s="76" t="s">
        <v>182</v>
      </c>
      <c r="C44" s="49"/>
      <c r="D44" s="49">
        <f>COUNTA(D34:D43)</f>
        <v>10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77"/>
      <c r="Q44" s="49"/>
      <c r="R44" s="49"/>
      <c r="S44" s="86">
        <f>SUM(S34:S43)</f>
        <v>84234450.25500001</v>
      </c>
      <c r="T44" s="84"/>
    </row>
    <row r="45" spans="2:20" ht="15" customHeight="1" x14ac:dyDescent="0.35">
      <c r="B45" s="39" t="s">
        <v>221</v>
      </c>
      <c r="C45" s="40" t="s">
        <v>222</v>
      </c>
      <c r="D45" s="41" t="s">
        <v>0</v>
      </c>
      <c r="E45" s="39" t="s">
        <v>72</v>
      </c>
      <c r="F45" s="39" t="s">
        <v>73</v>
      </c>
      <c r="G45" s="42" t="s">
        <v>223</v>
      </c>
      <c r="H45" s="39" t="s">
        <v>224</v>
      </c>
      <c r="I45" s="43">
        <v>46231.622499999998</v>
      </c>
      <c r="J45" s="43">
        <v>46231.663958333331</v>
      </c>
      <c r="K45" s="44">
        <v>5220000</v>
      </c>
      <c r="L45" s="44">
        <v>0</v>
      </c>
      <c r="M45" s="44">
        <v>0</v>
      </c>
      <c r="N45" s="44">
        <v>991800</v>
      </c>
      <c r="O45" s="44">
        <v>0</v>
      </c>
      <c r="P45" s="44">
        <v>6211800</v>
      </c>
      <c r="Q45" s="42" t="s">
        <v>94</v>
      </c>
      <c r="R45" s="42" t="s">
        <v>94</v>
      </c>
      <c r="S45" s="45">
        <f>+P45</f>
        <v>6211800</v>
      </c>
      <c r="T45" s="83" t="s">
        <v>93</v>
      </c>
    </row>
    <row r="46" spans="2:20" ht="15" customHeight="1" x14ac:dyDescent="0.35">
      <c r="B46" s="39" t="s">
        <v>225</v>
      </c>
      <c r="C46" s="40" t="s">
        <v>226</v>
      </c>
      <c r="D46" s="41" t="s">
        <v>55</v>
      </c>
      <c r="E46" s="39" t="s">
        <v>72</v>
      </c>
      <c r="F46" s="39" t="s">
        <v>73</v>
      </c>
      <c r="G46" s="42" t="s">
        <v>78</v>
      </c>
      <c r="H46" s="39" t="s">
        <v>79</v>
      </c>
      <c r="I46" s="43">
        <v>46225.701481481483</v>
      </c>
      <c r="J46" s="43">
        <v>46225.709456018521</v>
      </c>
      <c r="K46" s="44">
        <v>315000</v>
      </c>
      <c r="L46" s="44">
        <v>0</v>
      </c>
      <c r="M46" s="44">
        <v>0</v>
      </c>
      <c r="N46" s="44">
        <v>59850</v>
      </c>
      <c r="O46" s="44">
        <v>0</v>
      </c>
      <c r="P46" s="44">
        <v>374850</v>
      </c>
      <c r="Q46" s="42" t="s">
        <v>94</v>
      </c>
      <c r="R46" s="42" t="s">
        <v>94</v>
      </c>
      <c r="S46" s="45">
        <f t="shared" ref="S46:S48" si="6">+P46</f>
        <v>374850</v>
      </c>
      <c r="T46" s="83" t="s">
        <v>93</v>
      </c>
    </row>
    <row r="47" spans="2:20" ht="15" customHeight="1" x14ac:dyDescent="0.35">
      <c r="B47" s="39" t="s">
        <v>227</v>
      </c>
      <c r="C47" s="40" t="s">
        <v>228</v>
      </c>
      <c r="D47" s="41" t="s">
        <v>55</v>
      </c>
      <c r="E47" s="39" t="s">
        <v>72</v>
      </c>
      <c r="F47" s="39" t="s">
        <v>73</v>
      </c>
      <c r="G47" s="42" t="s">
        <v>229</v>
      </c>
      <c r="H47" s="39" t="s">
        <v>230</v>
      </c>
      <c r="I47" s="43">
        <v>46218.638888888891</v>
      </c>
      <c r="J47" s="43">
        <v>46218.652488425927</v>
      </c>
      <c r="K47" s="44">
        <v>531810</v>
      </c>
      <c r="L47" s="44">
        <v>0</v>
      </c>
      <c r="M47" s="44">
        <v>0</v>
      </c>
      <c r="N47" s="44">
        <v>101043.9</v>
      </c>
      <c r="O47" s="44">
        <v>0</v>
      </c>
      <c r="P47" s="44">
        <v>632853.9</v>
      </c>
      <c r="Q47" s="42" t="s">
        <v>94</v>
      </c>
      <c r="R47" s="42" t="s">
        <v>94</v>
      </c>
      <c r="S47" s="45">
        <f t="shared" si="6"/>
        <v>632853.9</v>
      </c>
      <c r="T47" s="83" t="s">
        <v>93</v>
      </c>
    </row>
    <row r="48" spans="2:20" ht="15" customHeight="1" x14ac:dyDescent="0.35">
      <c r="B48" s="39" t="s">
        <v>231</v>
      </c>
      <c r="C48" s="40" t="s">
        <v>232</v>
      </c>
      <c r="D48" s="41" t="s">
        <v>55</v>
      </c>
      <c r="E48" s="39" t="s">
        <v>72</v>
      </c>
      <c r="F48" s="39" t="s">
        <v>73</v>
      </c>
      <c r="G48" s="42" t="s">
        <v>78</v>
      </c>
      <c r="H48" s="39" t="s">
        <v>79</v>
      </c>
      <c r="I48" s="43">
        <v>46205.673263888886</v>
      </c>
      <c r="J48" s="43">
        <v>46205.683125000003</v>
      </c>
      <c r="K48" s="44">
        <v>1214905</v>
      </c>
      <c r="L48" s="44">
        <v>0</v>
      </c>
      <c r="M48" s="44">
        <v>0</v>
      </c>
      <c r="N48" s="44">
        <v>230831.95</v>
      </c>
      <c r="O48" s="44">
        <v>0</v>
      </c>
      <c r="P48" s="44">
        <v>1445736.95</v>
      </c>
      <c r="Q48" s="42" t="s">
        <v>94</v>
      </c>
      <c r="R48" s="42" t="s">
        <v>94</v>
      </c>
      <c r="S48" s="45">
        <f t="shared" si="6"/>
        <v>1445736.95</v>
      </c>
      <c r="T48" s="83" t="s">
        <v>93</v>
      </c>
    </row>
    <row r="49" spans="2:20" ht="15" customHeight="1" thickBot="1" x14ac:dyDescent="0.35">
      <c r="B49" s="76" t="s">
        <v>220</v>
      </c>
      <c r="C49" s="49"/>
      <c r="D49" s="49">
        <f>COUNTA(D45:D48)</f>
        <v>4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77"/>
      <c r="Q49" s="49"/>
      <c r="R49" s="49"/>
      <c r="S49" s="86">
        <f>SUM(S45:S48)</f>
        <v>8665240.8499999996</v>
      </c>
      <c r="T49" s="84"/>
    </row>
    <row r="50" spans="2:20" ht="15" customHeight="1" x14ac:dyDescent="0.35">
      <c r="B50" s="39" t="s">
        <v>235</v>
      </c>
      <c r="C50" s="40" t="s">
        <v>236</v>
      </c>
      <c r="D50" s="41" t="s">
        <v>55</v>
      </c>
      <c r="E50" s="39" t="s">
        <v>72</v>
      </c>
      <c r="F50" s="39" t="s">
        <v>73</v>
      </c>
      <c r="G50" s="42" t="s">
        <v>237</v>
      </c>
      <c r="H50" s="39" t="s">
        <v>238</v>
      </c>
      <c r="I50" s="43">
        <v>46262.489247685182</v>
      </c>
      <c r="J50" s="43">
        <v>46262.49486111111</v>
      </c>
      <c r="K50" s="44">
        <v>300000</v>
      </c>
      <c r="L50" s="44">
        <v>0</v>
      </c>
      <c r="M50" s="44">
        <v>0</v>
      </c>
      <c r="N50" s="44">
        <v>57000</v>
      </c>
      <c r="O50" s="44">
        <v>0</v>
      </c>
      <c r="P50" s="44">
        <v>357000</v>
      </c>
      <c r="Q50" s="42" t="s">
        <v>94</v>
      </c>
      <c r="R50" s="42" t="s">
        <v>94</v>
      </c>
      <c r="S50" s="45">
        <f>+P50</f>
        <v>357000</v>
      </c>
      <c r="T50" s="83" t="s">
        <v>93</v>
      </c>
    </row>
    <row r="51" spans="2:20" ht="15" customHeight="1" x14ac:dyDescent="0.35">
      <c r="B51" s="39" t="s">
        <v>239</v>
      </c>
      <c r="C51" s="40" t="s">
        <v>240</v>
      </c>
      <c r="D51" s="41" t="s">
        <v>53</v>
      </c>
      <c r="E51" s="39" t="s">
        <v>72</v>
      </c>
      <c r="F51" s="39" t="s">
        <v>73</v>
      </c>
      <c r="G51" s="42" t="s">
        <v>107</v>
      </c>
      <c r="H51" s="39" t="s">
        <v>108</v>
      </c>
      <c r="I51" s="43">
        <v>46260.432453703703</v>
      </c>
      <c r="J51" s="43">
        <v>46260.656261574077</v>
      </c>
      <c r="K51" s="44">
        <v>88861</v>
      </c>
      <c r="L51" s="44">
        <v>0</v>
      </c>
      <c r="M51" s="44">
        <v>16068</v>
      </c>
      <c r="N51" s="44">
        <v>0</v>
      </c>
      <c r="O51" s="44">
        <v>0</v>
      </c>
      <c r="P51" s="44">
        <v>104929</v>
      </c>
      <c r="Q51" s="42" t="s">
        <v>94</v>
      </c>
      <c r="R51" s="42" t="s">
        <v>94</v>
      </c>
      <c r="S51" s="45">
        <f t="shared" ref="S51:S53" si="7">+P51</f>
        <v>104929</v>
      </c>
      <c r="T51" s="83" t="s">
        <v>93</v>
      </c>
    </row>
    <row r="52" spans="2:20" ht="15" customHeight="1" x14ac:dyDescent="0.35">
      <c r="B52" s="39" t="s">
        <v>241</v>
      </c>
      <c r="C52" s="40" t="s">
        <v>242</v>
      </c>
      <c r="D52" s="41" t="s">
        <v>53</v>
      </c>
      <c r="E52" s="39" t="s">
        <v>72</v>
      </c>
      <c r="F52" s="39" t="s">
        <v>73</v>
      </c>
      <c r="G52" s="42" t="s">
        <v>107</v>
      </c>
      <c r="H52" s="39" t="s">
        <v>108</v>
      </c>
      <c r="I52" s="43">
        <v>46259.705289351848</v>
      </c>
      <c r="J52" s="43">
        <v>46260.544976851852</v>
      </c>
      <c r="K52" s="44">
        <v>89758</v>
      </c>
      <c r="L52" s="44">
        <v>0</v>
      </c>
      <c r="M52" s="44">
        <v>16068</v>
      </c>
      <c r="N52" s="44">
        <v>0</v>
      </c>
      <c r="O52" s="44">
        <v>0</v>
      </c>
      <c r="P52" s="44">
        <v>105826</v>
      </c>
      <c r="Q52" s="42" t="s">
        <v>94</v>
      </c>
      <c r="R52" s="42" t="s">
        <v>94</v>
      </c>
      <c r="S52" s="45">
        <f t="shared" si="7"/>
        <v>105826</v>
      </c>
      <c r="T52" s="83" t="s">
        <v>93</v>
      </c>
    </row>
    <row r="53" spans="2:20" ht="15" customHeight="1" x14ac:dyDescent="0.35">
      <c r="B53" s="39" t="s">
        <v>243</v>
      </c>
      <c r="C53" s="40" t="s">
        <v>244</v>
      </c>
      <c r="D53" s="41" t="s">
        <v>55</v>
      </c>
      <c r="E53" s="39" t="s">
        <v>72</v>
      </c>
      <c r="F53" s="39" t="s">
        <v>73</v>
      </c>
      <c r="G53" s="42" t="s">
        <v>245</v>
      </c>
      <c r="H53" s="39" t="s">
        <v>246</v>
      </c>
      <c r="I53" s="43">
        <v>46252.705428240741</v>
      </c>
      <c r="J53" s="43">
        <v>46252.710601851853</v>
      </c>
      <c r="K53" s="44">
        <v>374400</v>
      </c>
      <c r="L53" s="44">
        <v>0</v>
      </c>
      <c r="M53" s="44">
        <v>0</v>
      </c>
      <c r="N53" s="44">
        <v>71136</v>
      </c>
      <c r="O53" s="44">
        <v>0</v>
      </c>
      <c r="P53" s="44">
        <v>445536</v>
      </c>
      <c r="Q53" s="42" t="s">
        <v>94</v>
      </c>
      <c r="R53" s="42" t="s">
        <v>94</v>
      </c>
      <c r="S53" s="45">
        <f t="shared" si="7"/>
        <v>445536</v>
      </c>
      <c r="T53" s="83" t="s">
        <v>93</v>
      </c>
    </row>
    <row r="54" spans="2:20" ht="15" customHeight="1" x14ac:dyDescent="0.35">
      <c r="B54" s="39" t="s">
        <v>247</v>
      </c>
      <c r="C54" s="40" t="s">
        <v>248</v>
      </c>
      <c r="D54" s="41" t="s">
        <v>27</v>
      </c>
      <c r="E54" s="39" t="s">
        <v>72</v>
      </c>
      <c r="F54" s="39" t="s">
        <v>73</v>
      </c>
      <c r="G54" s="42" t="s">
        <v>117</v>
      </c>
      <c r="H54" s="39" t="s">
        <v>118</v>
      </c>
      <c r="I54" s="43">
        <v>46246.405266203707</v>
      </c>
      <c r="J54" s="43">
        <v>46246.551354166666</v>
      </c>
      <c r="K54" s="44">
        <v>10932.83</v>
      </c>
      <c r="L54" s="44">
        <v>0</v>
      </c>
      <c r="M54" s="44">
        <v>0</v>
      </c>
      <c r="N54" s="44">
        <v>2077.2377000000001</v>
      </c>
      <c r="O54" s="44">
        <v>0</v>
      </c>
      <c r="P54" s="44">
        <v>13010.0677</v>
      </c>
      <c r="Q54" s="42" t="s">
        <v>261</v>
      </c>
      <c r="R54" s="95">
        <v>40848.74</v>
      </c>
      <c r="S54" s="45">
        <f>+P54*R54</f>
        <v>531444872.85969794</v>
      </c>
      <c r="T54" s="83" t="s">
        <v>93</v>
      </c>
    </row>
    <row r="55" spans="2:20" ht="15" customHeight="1" x14ac:dyDescent="0.35">
      <c r="B55" s="39" t="s">
        <v>249</v>
      </c>
      <c r="C55" s="40" t="s">
        <v>250</v>
      </c>
      <c r="D55" s="41" t="s">
        <v>53</v>
      </c>
      <c r="E55" s="39" t="s">
        <v>72</v>
      </c>
      <c r="F55" s="39" t="s">
        <v>73</v>
      </c>
      <c r="G55" s="42" t="s">
        <v>107</v>
      </c>
      <c r="H55" s="39" t="s">
        <v>108</v>
      </c>
      <c r="I55" s="43">
        <v>46245.579282407409</v>
      </c>
      <c r="J55" s="43">
        <v>46245.711122685185</v>
      </c>
      <c r="K55" s="44">
        <v>74082</v>
      </c>
      <c r="L55" s="44">
        <v>0</v>
      </c>
      <c r="M55" s="44">
        <v>16068</v>
      </c>
      <c r="N55" s="44">
        <v>0</v>
      </c>
      <c r="O55" s="44">
        <v>0</v>
      </c>
      <c r="P55" s="44">
        <v>90150</v>
      </c>
      <c r="Q55" s="42" t="s">
        <v>94</v>
      </c>
      <c r="R55" s="42" t="s">
        <v>94</v>
      </c>
      <c r="S55" s="45">
        <f t="shared" ref="S55:S59" si="8">+P55</f>
        <v>90150</v>
      </c>
      <c r="T55" s="83" t="s">
        <v>93</v>
      </c>
    </row>
    <row r="56" spans="2:20" ht="15" customHeight="1" x14ac:dyDescent="0.35">
      <c r="B56" s="39" t="s">
        <v>251</v>
      </c>
      <c r="C56" s="40" t="s">
        <v>252</v>
      </c>
      <c r="D56" s="41" t="s">
        <v>53</v>
      </c>
      <c r="E56" s="39" t="s">
        <v>72</v>
      </c>
      <c r="F56" s="39" t="s">
        <v>73</v>
      </c>
      <c r="G56" s="42" t="s">
        <v>107</v>
      </c>
      <c r="H56" s="39" t="s">
        <v>108</v>
      </c>
      <c r="I56" s="43">
        <v>46245.577581018515</v>
      </c>
      <c r="J56" s="43">
        <v>46245.71056712963</v>
      </c>
      <c r="K56" s="44">
        <v>74082</v>
      </c>
      <c r="L56" s="44">
        <v>0</v>
      </c>
      <c r="M56" s="44">
        <v>16068</v>
      </c>
      <c r="N56" s="44">
        <v>0</v>
      </c>
      <c r="O56" s="44">
        <v>0</v>
      </c>
      <c r="P56" s="44">
        <v>90150</v>
      </c>
      <c r="Q56" s="42" t="s">
        <v>94</v>
      </c>
      <c r="R56" s="42" t="s">
        <v>94</v>
      </c>
      <c r="S56" s="45">
        <f t="shared" si="8"/>
        <v>90150</v>
      </c>
      <c r="T56" s="83" t="s">
        <v>93</v>
      </c>
    </row>
    <row r="57" spans="2:20" ht="15" customHeight="1" x14ac:dyDescent="0.35">
      <c r="B57" s="39" t="s">
        <v>253</v>
      </c>
      <c r="C57" s="40" t="s">
        <v>254</v>
      </c>
      <c r="D57" s="41" t="s">
        <v>53</v>
      </c>
      <c r="E57" s="39" t="s">
        <v>72</v>
      </c>
      <c r="F57" s="39" t="s">
        <v>73</v>
      </c>
      <c r="G57" s="42" t="s">
        <v>107</v>
      </c>
      <c r="H57" s="39" t="s">
        <v>108</v>
      </c>
      <c r="I57" s="43">
        <v>46245.566770833335</v>
      </c>
      <c r="J57" s="43">
        <v>46245.706875000003</v>
      </c>
      <c r="K57" s="44">
        <v>112082</v>
      </c>
      <c r="L57" s="44">
        <v>0</v>
      </c>
      <c r="M57" s="44">
        <v>16068</v>
      </c>
      <c r="N57" s="44">
        <v>0</v>
      </c>
      <c r="O57" s="44">
        <v>0</v>
      </c>
      <c r="P57" s="44">
        <v>128150</v>
      </c>
      <c r="Q57" s="42" t="s">
        <v>94</v>
      </c>
      <c r="R57" s="42" t="s">
        <v>94</v>
      </c>
      <c r="S57" s="45">
        <f t="shared" si="8"/>
        <v>128150</v>
      </c>
      <c r="T57" s="83" t="s">
        <v>93</v>
      </c>
    </row>
    <row r="58" spans="2:20" ht="15" customHeight="1" x14ac:dyDescent="0.35">
      <c r="B58" s="39" t="s">
        <v>255</v>
      </c>
      <c r="C58" s="40" t="s">
        <v>256</v>
      </c>
      <c r="D58" s="41" t="s">
        <v>53</v>
      </c>
      <c r="E58" s="39" t="s">
        <v>72</v>
      </c>
      <c r="F58" s="39" t="s">
        <v>73</v>
      </c>
      <c r="G58" s="42" t="s">
        <v>107</v>
      </c>
      <c r="H58" s="39" t="s">
        <v>108</v>
      </c>
      <c r="I58" s="43">
        <v>46245.563703703701</v>
      </c>
      <c r="J58" s="43">
        <v>46245.698530092595</v>
      </c>
      <c r="K58" s="44">
        <v>112082</v>
      </c>
      <c r="L58" s="44">
        <v>0</v>
      </c>
      <c r="M58" s="44">
        <v>16068</v>
      </c>
      <c r="N58" s="44">
        <v>0</v>
      </c>
      <c r="O58" s="44">
        <v>0</v>
      </c>
      <c r="P58" s="44">
        <v>128150</v>
      </c>
      <c r="Q58" s="42" t="s">
        <v>94</v>
      </c>
      <c r="R58" s="42" t="s">
        <v>94</v>
      </c>
      <c r="S58" s="45">
        <f t="shared" si="8"/>
        <v>128150</v>
      </c>
      <c r="T58" s="83" t="s">
        <v>93</v>
      </c>
    </row>
    <row r="59" spans="2:20" ht="15" customHeight="1" x14ac:dyDescent="0.35">
      <c r="B59" s="39" t="s">
        <v>257</v>
      </c>
      <c r="C59" s="40" t="s">
        <v>258</v>
      </c>
      <c r="D59" s="41" t="s">
        <v>55</v>
      </c>
      <c r="E59" s="39" t="s">
        <v>72</v>
      </c>
      <c r="F59" s="39" t="s">
        <v>73</v>
      </c>
      <c r="G59" s="42" t="s">
        <v>259</v>
      </c>
      <c r="H59" s="39" t="s">
        <v>260</v>
      </c>
      <c r="I59" s="43">
        <v>46240.514062499999</v>
      </c>
      <c r="J59" s="43">
        <v>46240.526365740741</v>
      </c>
      <c r="K59" s="44">
        <v>185000</v>
      </c>
      <c r="L59" s="44">
        <v>0</v>
      </c>
      <c r="M59" s="44">
        <v>0</v>
      </c>
      <c r="N59" s="44">
        <v>35150</v>
      </c>
      <c r="O59" s="44">
        <v>0</v>
      </c>
      <c r="P59" s="44">
        <v>220150</v>
      </c>
      <c r="Q59" s="42" t="s">
        <v>94</v>
      </c>
      <c r="R59" s="42" t="s">
        <v>94</v>
      </c>
      <c r="S59" s="45">
        <f t="shared" si="8"/>
        <v>220150</v>
      </c>
      <c r="T59" s="83" t="s">
        <v>93</v>
      </c>
    </row>
    <row r="60" spans="2:20" ht="15" customHeight="1" thickBot="1" x14ac:dyDescent="0.35">
      <c r="B60" s="76" t="s">
        <v>234</v>
      </c>
      <c r="C60" s="49"/>
      <c r="D60" s="49">
        <f>COUNTA(D50:D59)</f>
        <v>10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77"/>
      <c r="Q60" s="49"/>
      <c r="R60" s="49"/>
      <c r="S60" s="86">
        <f>SUM(S50:S59)</f>
        <v>533114913.85969794</v>
      </c>
      <c r="T60" s="84"/>
    </row>
    <row r="61" spans="2:20" ht="15" customHeight="1" x14ac:dyDescent="0.35">
      <c r="B61" s="39" t="s">
        <v>263</v>
      </c>
      <c r="C61" s="40" t="s">
        <v>264</v>
      </c>
      <c r="D61" s="41" t="s">
        <v>55</v>
      </c>
      <c r="E61" s="39" t="s">
        <v>72</v>
      </c>
      <c r="F61" s="39" t="s">
        <v>73</v>
      </c>
      <c r="G61" s="42" t="s">
        <v>265</v>
      </c>
      <c r="H61" s="39" t="s">
        <v>266</v>
      </c>
      <c r="I61" s="43">
        <v>46287.758576388886</v>
      </c>
      <c r="J61" s="43">
        <v>46287.764409722222</v>
      </c>
      <c r="K61" s="44">
        <v>1459800</v>
      </c>
      <c r="L61" s="44">
        <v>0</v>
      </c>
      <c r="M61" s="44">
        <v>0</v>
      </c>
      <c r="N61" s="44">
        <v>277362</v>
      </c>
      <c r="O61" s="44">
        <v>0</v>
      </c>
      <c r="P61" s="44">
        <v>1737162</v>
      </c>
      <c r="Q61" s="42" t="s">
        <v>94</v>
      </c>
      <c r="R61" s="42" t="s">
        <v>94</v>
      </c>
      <c r="S61" s="45">
        <f>+P61</f>
        <v>1737162</v>
      </c>
      <c r="T61" s="83" t="s">
        <v>93</v>
      </c>
    </row>
    <row r="62" spans="2:20" ht="15" customHeight="1" x14ac:dyDescent="0.35">
      <c r="B62" s="39" t="s">
        <v>267</v>
      </c>
      <c r="C62" s="40" t="s">
        <v>268</v>
      </c>
      <c r="D62" s="41" t="s">
        <v>55</v>
      </c>
      <c r="E62" s="39" t="s">
        <v>72</v>
      </c>
      <c r="F62" s="39" t="s">
        <v>73</v>
      </c>
      <c r="G62" s="42" t="s">
        <v>159</v>
      </c>
      <c r="H62" s="39" t="s">
        <v>160</v>
      </c>
      <c r="I62" s="43">
        <v>46280.656273148146</v>
      </c>
      <c r="J62" s="43">
        <v>46280.681134259263</v>
      </c>
      <c r="K62" s="44">
        <v>1117897</v>
      </c>
      <c r="L62" s="44">
        <v>0</v>
      </c>
      <c r="M62" s="44">
        <v>0</v>
      </c>
      <c r="N62" s="44">
        <v>212400.43</v>
      </c>
      <c r="O62" s="44">
        <v>0</v>
      </c>
      <c r="P62" s="44">
        <v>1330297</v>
      </c>
      <c r="Q62" s="42" t="s">
        <v>94</v>
      </c>
      <c r="R62" s="42" t="s">
        <v>94</v>
      </c>
      <c r="S62" s="45">
        <f t="shared" ref="S62:S64" si="9">+P62</f>
        <v>1330297</v>
      </c>
      <c r="T62" s="83" t="s">
        <v>93</v>
      </c>
    </row>
    <row r="63" spans="2:20" ht="15" customHeight="1" x14ac:dyDescent="0.35">
      <c r="B63" s="39" t="s">
        <v>269</v>
      </c>
      <c r="C63" s="40" t="s">
        <v>270</v>
      </c>
      <c r="D63" s="41" t="s">
        <v>53</v>
      </c>
      <c r="E63" s="39" t="s">
        <v>72</v>
      </c>
      <c r="F63" s="39" t="s">
        <v>73</v>
      </c>
      <c r="G63" s="42" t="s">
        <v>107</v>
      </c>
      <c r="H63" s="39" t="s">
        <v>108</v>
      </c>
      <c r="I63" s="43">
        <v>46266.427094907405</v>
      </c>
      <c r="J63" s="43">
        <v>46266.437141203707</v>
      </c>
      <c r="K63" s="44">
        <v>51480</v>
      </c>
      <c r="L63" s="44">
        <v>0</v>
      </c>
      <c r="M63" s="44">
        <v>0</v>
      </c>
      <c r="N63" s="44">
        <v>0</v>
      </c>
      <c r="O63" s="44">
        <v>0</v>
      </c>
      <c r="P63" s="44">
        <v>51480</v>
      </c>
      <c r="Q63" s="42" t="s">
        <v>94</v>
      </c>
      <c r="R63" s="42" t="s">
        <v>94</v>
      </c>
      <c r="S63" s="45">
        <f t="shared" si="9"/>
        <v>51480</v>
      </c>
      <c r="T63" s="83" t="s">
        <v>93</v>
      </c>
    </row>
    <row r="64" spans="2:20" ht="15" customHeight="1" x14ac:dyDescent="0.35">
      <c r="B64" s="39" t="s">
        <v>271</v>
      </c>
      <c r="C64" s="40" t="s">
        <v>272</v>
      </c>
      <c r="D64" s="41" t="s">
        <v>53</v>
      </c>
      <c r="E64" s="39" t="s">
        <v>72</v>
      </c>
      <c r="F64" s="39" t="s">
        <v>73</v>
      </c>
      <c r="G64" s="42" t="s">
        <v>107</v>
      </c>
      <c r="H64" s="39" t="s">
        <v>108</v>
      </c>
      <c r="I64" s="43">
        <v>46266.408715277779</v>
      </c>
      <c r="J64" s="43">
        <v>46266.43440972222</v>
      </c>
      <c r="K64" s="44">
        <v>51480</v>
      </c>
      <c r="L64" s="44">
        <v>0</v>
      </c>
      <c r="M64" s="44">
        <v>0</v>
      </c>
      <c r="N64" s="44">
        <v>0</v>
      </c>
      <c r="O64" s="44">
        <v>0</v>
      </c>
      <c r="P64" s="44">
        <v>51480</v>
      </c>
      <c r="Q64" s="42" t="s">
        <v>94</v>
      </c>
      <c r="R64" s="42" t="s">
        <v>94</v>
      </c>
      <c r="S64" s="45">
        <f t="shared" si="9"/>
        <v>51480</v>
      </c>
      <c r="T64" s="83" t="s">
        <v>93</v>
      </c>
    </row>
    <row r="65" spans="2:22" ht="15" customHeight="1" thickBot="1" x14ac:dyDescent="0.35">
      <c r="B65" s="76" t="s">
        <v>262</v>
      </c>
      <c r="C65" s="49"/>
      <c r="D65" s="49">
        <f>COUNTA(D61:D64)</f>
        <v>4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77"/>
      <c r="Q65" s="49"/>
      <c r="R65" s="49"/>
      <c r="S65" s="86">
        <f>SUM(S61:S64)</f>
        <v>3170419</v>
      </c>
      <c r="T65" s="84"/>
    </row>
    <row r="66" spans="2:22" ht="13.5" thickBot="1" x14ac:dyDescent="0.35"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80"/>
      <c r="Q66" s="79"/>
      <c r="R66" s="79"/>
      <c r="S66" s="80"/>
      <c r="T66" s="85"/>
    </row>
    <row r="67" spans="2:22" ht="13.5" thickBot="1" x14ac:dyDescent="0.35">
      <c r="B67" s="76" t="s">
        <v>56</v>
      </c>
      <c r="C67" s="49"/>
      <c r="D67" s="49">
        <f>+D8+D15+D19+D28+D33+D44+D49+D60+D65</f>
        <v>54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87">
        <f>+S8+S15+S19+S28+S33+S44+S49+S60+S65</f>
        <v>922398485.92469788</v>
      </c>
      <c r="T67" s="84">
        <f>COUNTIF(T3:T59,"Publicada")</f>
        <v>3</v>
      </c>
      <c r="U67" s="47">
        <f>+S8+S15+S19+S28+S33+S44+S49+S60+S65</f>
        <v>922398485.92469788</v>
      </c>
      <c r="V67" s="48" t="s">
        <v>57</v>
      </c>
    </row>
    <row r="68" spans="2:22" x14ac:dyDescent="0.3">
      <c r="U68" s="47">
        <f>+D8+D15+D19+D28+D33+D44+D49+D60+D65</f>
        <v>54</v>
      </c>
      <c r="V68" s="48" t="s">
        <v>57</v>
      </c>
    </row>
    <row r="70" spans="2:22" x14ac:dyDescent="0.3">
      <c r="U70" s="75"/>
    </row>
  </sheetData>
  <autoFilter ref="A2:V44" xr:uid="{00000000-0001-0000-0100-000000000000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2963-12EE-474B-86A0-4D4496052788}">
  <dimension ref="B1:AO6"/>
  <sheetViews>
    <sheetView zoomScale="80" zoomScaleNormal="80" workbookViewId="0">
      <selection activeCell="G8" sqref="G8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8" max="18" width="12.26953125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263</v>
      </c>
      <c r="C2" s="40" t="s">
        <v>264</v>
      </c>
      <c r="D2" s="41" t="s">
        <v>55</v>
      </c>
      <c r="E2" s="39" t="s">
        <v>72</v>
      </c>
      <c r="F2" s="39" t="s">
        <v>73</v>
      </c>
      <c r="G2" s="42" t="s">
        <v>265</v>
      </c>
      <c r="H2" s="39" t="s">
        <v>266</v>
      </c>
      <c r="I2" s="43">
        <v>46287.758576388886</v>
      </c>
      <c r="J2" s="43">
        <v>46287.764409722222</v>
      </c>
      <c r="K2" s="44">
        <v>1459800</v>
      </c>
      <c r="L2" s="44">
        <v>0</v>
      </c>
      <c r="M2" s="44">
        <v>0</v>
      </c>
      <c r="N2" s="44">
        <v>277362</v>
      </c>
      <c r="O2" s="44">
        <v>0</v>
      </c>
      <c r="P2" s="44">
        <v>1737162</v>
      </c>
      <c r="Q2" s="42" t="s">
        <v>94</v>
      </c>
      <c r="R2" s="42" t="s">
        <v>94</v>
      </c>
      <c r="S2" s="45">
        <f>+P2</f>
        <v>1737162</v>
      </c>
    </row>
    <row r="3" spans="2:41" ht="17.25" customHeight="1" x14ac:dyDescent="0.35">
      <c r="B3" s="39" t="s">
        <v>267</v>
      </c>
      <c r="C3" s="40" t="s">
        <v>268</v>
      </c>
      <c r="D3" s="41" t="s">
        <v>55</v>
      </c>
      <c r="E3" s="39" t="s">
        <v>72</v>
      </c>
      <c r="F3" s="39" t="s">
        <v>73</v>
      </c>
      <c r="G3" s="42" t="s">
        <v>159</v>
      </c>
      <c r="H3" s="39" t="s">
        <v>160</v>
      </c>
      <c r="I3" s="43">
        <v>46280.656273148146</v>
      </c>
      <c r="J3" s="43">
        <v>46280.681134259263</v>
      </c>
      <c r="K3" s="44">
        <v>1117897</v>
      </c>
      <c r="L3" s="44">
        <v>0</v>
      </c>
      <c r="M3" s="44">
        <v>0</v>
      </c>
      <c r="N3" s="44">
        <v>212400.43</v>
      </c>
      <c r="O3" s="44">
        <v>0</v>
      </c>
      <c r="P3" s="44">
        <v>1330297</v>
      </c>
      <c r="Q3" s="42" t="s">
        <v>94</v>
      </c>
      <c r="R3" s="42" t="s">
        <v>94</v>
      </c>
      <c r="S3" s="45">
        <f t="shared" ref="S3:S5" si="0">+P3</f>
        <v>1330297</v>
      </c>
    </row>
    <row r="4" spans="2:41" ht="17.25" customHeight="1" x14ac:dyDescent="0.35">
      <c r="B4" s="39" t="s">
        <v>269</v>
      </c>
      <c r="C4" s="40" t="s">
        <v>270</v>
      </c>
      <c r="D4" s="41" t="s">
        <v>53</v>
      </c>
      <c r="E4" s="39" t="s">
        <v>72</v>
      </c>
      <c r="F4" s="39" t="s">
        <v>73</v>
      </c>
      <c r="G4" s="42" t="s">
        <v>107</v>
      </c>
      <c r="H4" s="39" t="s">
        <v>108</v>
      </c>
      <c r="I4" s="43">
        <v>46266.427094907405</v>
      </c>
      <c r="J4" s="43">
        <v>46266.437141203707</v>
      </c>
      <c r="K4" s="44">
        <v>51480</v>
      </c>
      <c r="L4" s="44">
        <v>0</v>
      </c>
      <c r="M4" s="44">
        <v>0</v>
      </c>
      <c r="N4" s="44">
        <v>0</v>
      </c>
      <c r="O4" s="44">
        <v>0</v>
      </c>
      <c r="P4" s="44">
        <v>51480</v>
      </c>
      <c r="Q4" s="42" t="s">
        <v>94</v>
      </c>
      <c r="R4" s="42" t="s">
        <v>94</v>
      </c>
      <c r="S4" s="45">
        <f t="shared" si="0"/>
        <v>51480</v>
      </c>
    </row>
    <row r="5" spans="2:41" ht="17.25" customHeight="1" x14ac:dyDescent="0.35">
      <c r="B5" s="39" t="s">
        <v>271</v>
      </c>
      <c r="C5" s="40" t="s">
        <v>272</v>
      </c>
      <c r="D5" s="41" t="s">
        <v>53</v>
      </c>
      <c r="E5" s="39" t="s">
        <v>72</v>
      </c>
      <c r="F5" s="39" t="s">
        <v>73</v>
      </c>
      <c r="G5" s="42" t="s">
        <v>107</v>
      </c>
      <c r="H5" s="39" t="s">
        <v>108</v>
      </c>
      <c r="I5" s="43">
        <v>46266.408715277779</v>
      </c>
      <c r="J5" s="43">
        <v>46266.43440972222</v>
      </c>
      <c r="K5" s="44">
        <v>51480</v>
      </c>
      <c r="L5" s="44">
        <v>0</v>
      </c>
      <c r="M5" s="44">
        <v>0</v>
      </c>
      <c r="N5" s="44">
        <v>0</v>
      </c>
      <c r="O5" s="44">
        <v>0</v>
      </c>
      <c r="P5" s="44">
        <v>51480</v>
      </c>
      <c r="Q5" s="42" t="s">
        <v>94</v>
      </c>
      <c r="R5" s="42" t="s">
        <v>94</v>
      </c>
      <c r="S5" s="45">
        <f t="shared" si="0"/>
        <v>51480</v>
      </c>
    </row>
    <row r="6" spans="2:41" ht="15" thickBot="1" x14ac:dyDescent="0.4">
      <c r="B6" s="30" t="s">
        <v>262</v>
      </c>
      <c r="C6" s="29"/>
      <c r="D6" s="56">
        <f>COUNTA(D2:D5)</f>
        <v>4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1"/>
      <c r="Q6" s="29"/>
      <c r="R6" s="29"/>
      <c r="S6" s="55">
        <f>SUM(S2:S5)</f>
        <v>3170419</v>
      </c>
    </row>
  </sheetData>
  <pageMargins left="0.7" right="0.7" top="0.75" bottom="0.75" header="0.3" footer="0.3"/>
  <pageSetup paperSize="2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C542-AEC5-486A-9A62-210A7B9EAC69}">
  <dimension ref="B1:AO12"/>
  <sheetViews>
    <sheetView zoomScale="80" zoomScaleNormal="80" workbookViewId="0">
      <selection activeCell="D9" sqref="D9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8" max="18" width="12.26953125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235</v>
      </c>
      <c r="C2" s="40" t="s">
        <v>236</v>
      </c>
      <c r="D2" s="41" t="s">
        <v>55</v>
      </c>
      <c r="E2" s="39" t="s">
        <v>72</v>
      </c>
      <c r="F2" s="39" t="s">
        <v>73</v>
      </c>
      <c r="G2" s="42" t="s">
        <v>237</v>
      </c>
      <c r="H2" s="39" t="s">
        <v>238</v>
      </c>
      <c r="I2" s="43">
        <v>46262.489247685182</v>
      </c>
      <c r="J2" s="43">
        <v>46262.49486111111</v>
      </c>
      <c r="K2" s="44">
        <v>300000</v>
      </c>
      <c r="L2" s="44">
        <v>0</v>
      </c>
      <c r="M2" s="44">
        <v>0</v>
      </c>
      <c r="N2" s="44">
        <v>57000</v>
      </c>
      <c r="O2" s="44">
        <v>0</v>
      </c>
      <c r="P2" s="44">
        <v>357000</v>
      </c>
      <c r="Q2" s="42" t="s">
        <v>94</v>
      </c>
      <c r="R2" s="42" t="s">
        <v>94</v>
      </c>
      <c r="S2" s="45">
        <f>+P2</f>
        <v>357000</v>
      </c>
    </row>
    <row r="3" spans="2:41" ht="17.25" customHeight="1" x14ac:dyDescent="0.35">
      <c r="B3" s="39" t="s">
        <v>239</v>
      </c>
      <c r="C3" s="40" t="s">
        <v>240</v>
      </c>
      <c r="D3" s="41" t="s">
        <v>53</v>
      </c>
      <c r="E3" s="39" t="s">
        <v>72</v>
      </c>
      <c r="F3" s="39" t="s">
        <v>73</v>
      </c>
      <c r="G3" s="42" t="s">
        <v>107</v>
      </c>
      <c r="H3" s="39" t="s">
        <v>108</v>
      </c>
      <c r="I3" s="43">
        <v>46260.432453703703</v>
      </c>
      <c r="J3" s="43">
        <v>46260.656261574077</v>
      </c>
      <c r="K3" s="44">
        <v>88861</v>
      </c>
      <c r="L3" s="44">
        <v>0</v>
      </c>
      <c r="M3" s="44">
        <v>16068</v>
      </c>
      <c r="N3" s="44">
        <v>0</v>
      </c>
      <c r="O3" s="44">
        <v>0</v>
      </c>
      <c r="P3" s="44">
        <v>104929</v>
      </c>
      <c r="Q3" s="42" t="s">
        <v>94</v>
      </c>
      <c r="R3" s="42" t="s">
        <v>94</v>
      </c>
      <c r="S3" s="45">
        <f t="shared" ref="S3:S5" si="0">+P3</f>
        <v>104929</v>
      </c>
    </row>
    <row r="4" spans="2:41" ht="17.25" customHeight="1" x14ac:dyDescent="0.35">
      <c r="B4" s="39" t="s">
        <v>241</v>
      </c>
      <c r="C4" s="40" t="s">
        <v>242</v>
      </c>
      <c r="D4" s="41" t="s">
        <v>53</v>
      </c>
      <c r="E4" s="39" t="s">
        <v>72</v>
      </c>
      <c r="F4" s="39" t="s">
        <v>73</v>
      </c>
      <c r="G4" s="42" t="s">
        <v>107</v>
      </c>
      <c r="H4" s="39" t="s">
        <v>108</v>
      </c>
      <c r="I4" s="43">
        <v>46259.705289351848</v>
      </c>
      <c r="J4" s="43">
        <v>46260.544976851852</v>
      </c>
      <c r="K4" s="44">
        <v>89758</v>
      </c>
      <c r="L4" s="44">
        <v>0</v>
      </c>
      <c r="M4" s="44">
        <v>16068</v>
      </c>
      <c r="N4" s="44">
        <v>0</v>
      </c>
      <c r="O4" s="44">
        <v>0</v>
      </c>
      <c r="P4" s="44">
        <v>105826</v>
      </c>
      <c r="Q4" s="42" t="s">
        <v>94</v>
      </c>
      <c r="R4" s="42" t="s">
        <v>94</v>
      </c>
      <c r="S4" s="45">
        <f t="shared" si="0"/>
        <v>105826</v>
      </c>
    </row>
    <row r="5" spans="2:41" ht="17.25" customHeight="1" x14ac:dyDescent="0.35">
      <c r="B5" s="39" t="s">
        <v>243</v>
      </c>
      <c r="C5" s="40" t="s">
        <v>244</v>
      </c>
      <c r="D5" s="41" t="s">
        <v>55</v>
      </c>
      <c r="E5" s="39" t="s">
        <v>72</v>
      </c>
      <c r="F5" s="39" t="s">
        <v>73</v>
      </c>
      <c r="G5" s="42" t="s">
        <v>245</v>
      </c>
      <c r="H5" s="39" t="s">
        <v>246</v>
      </c>
      <c r="I5" s="43">
        <v>46252.705428240741</v>
      </c>
      <c r="J5" s="43">
        <v>46252.710601851853</v>
      </c>
      <c r="K5" s="44">
        <v>374400</v>
      </c>
      <c r="L5" s="44">
        <v>0</v>
      </c>
      <c r="M5" s="44">
        <v>0</v>
      </c>
      <c r="N5" s="44">
        <v>71136</v>
      </c>
      <c r="O5" s="44">
        <v>0</v>
      </c>
      <c r="P5" s="44">
        <v>445536</v>
      </c>
      <c r="Q5" s="42" t="s">
        <v>94</v>
      </c>
      <c r="R5" s="42" t="s">
        <v>94</v>
      </c>
      <c r="S5" s="45">
        <f t="shared" si="0"/>
        <v>445536</v>
      </c>
    </row>
    <row r="6" spans="2:41" ht="17.25" customHeight="1" x14ac:dyDescent="0.35">
      <c r="B6" s="39" t="s">
        <v>247</v>
      </c>
      <c r="C6" s="40" t="s">
        <v>248</v>
      </c>
      <c r="D6" s="41" t="s">
        <v>27</v>
      </c>
      <c r="E6" s="39" t="s">
        <v>72</v>
      </c>
      <c r="F6" s="39" t="s">
        <v>73</v>
      </c>
      <c r="G6" s="42" t="s">
        <v>117</v>
      </c>
      <c r="H6" s="39" t="s">
        <v>118</v>
      </c>
      <c r="I6" s="43">
        <v>46246.405266203707</v>
      </c>
      <c r="J6" s="43">
        <v>46246.551354166666</v>
      </c>
      <c r="K6" s="44">
        <v>10932.83</v>
      </c>
      <c r="L6" s="44">
        <v>0</v>
      </c>
      <c r="M6" s="44">
        <v>0</v>
      </c>
      <c r="N6" s="44">
        <v>2077.2377000000001</v>
      </c>
      <c r="O6" s="44">
        <v>0</v>
      </c>
      <c r="P6" s="44">
        <v>13010.0677</v>
      </c>
      <c r="Q6" s="42" t="s">
        <v>261</v>
      </c>
      <c r="R6" s="95">
        <v>40848.74</v>
      </c>
      <c r="S6" s="45">
        <f>+P6*R6</f>
        <v>531444872.85969794</v>
      </c>
    </row>
    <row r="7" spans="2:41" ht="17.25" customHeight="1" x14ac:dyDescent="0.35">
      <c r="B7" s="39" t="s">
        <v>249</v>
      </c>
      <c r="C7" s="40" t="s">
        <v>250</v>
      </c>
      <c r="D7" s="41" t="s">
        <v>53</v>
      </c>
      <c r="E7" s="39" t="s">
        <v>72</v>
      </c>
      <c r="F7" s="39" t="s">
        <v>73</v>
      </c>
      <c r="G7" s="42" t="s">
        <v>107</v>
      </c>
      <c r="H7" s="39" t="s">
        <v>108</v>
      </c>
      <c r="I7" s="43">
        <v>46245.579282407409</v>
      </c>
      <c r="J7" s="43">
        <v>46245.711122685185</v>
      </c>
      <c r="K7" s="44">
        <v>74082</v>
      </c>
      <c r="L7" s="44">
        <v>0</v>
      </c>
      <c r="M7" s="44">
        <v>16068</v>
      </c>
      <c r="N7" s="44">
        <v>0</v>
      </c>
      <c r="O7" s="44">
        <v>0</v>
      </c>
      <c r="P7" s="44">
        <v>90150</v>
      </c>
      <c r="Q7" s="42" t="s">
        <v>94</v>
      </c>
      <c r="R7" s="42" t="s">
        <v>94</v>
      </c>
      <c r="S7" s="45">
        <f t="shared" ref="S7:S10" si="1">+P7</f>
        <v>90150</v>
      </c>
    </row>
    <row r="8" spans="2:41" ht="17.25" customHeight="1" x14ac:dyDescent="0.35">
      <c r="B8" s="39" t="s">
        <v>251</v>
      </c>
      <c r="C8" s="40" t="s">
        <v>252</v>
      </c>
      <c r="D8" s="41" t="s">
        <v>53</v>
      </c>
      <c r="E8" s="39" t="s">
        <v>72</v>
      </c>
      <c r="F8" s="39" t="s">
        <v>73</v>
      </c>
      <c r="G8" s="42" t="s">
        <v>107</v>
      </c>
      <c r="H8" s="39" t="s">
        <v>108</v>
      </c>
      <c r="I8" s="43">
        <v>46245.577581018515</v>
      </c>
      <c r="J8" s="43">
        <v>46245.71056712963</v>
      </c>
      <c r="K8" s="44">
        <v>74082</v>
      </c>
      <c r="L8" s="44">
        <v>0</v>
      </c>
      <c r="M8" s="44">
        <v>16068</v>
      </c>
      <c r="N8" s="44">
        <v>0</v>
      </c>
      <c r="O8" s="44">
        <v>0</v>
      </c>
      <c r="P8" s="44">
        <v>90150</v>
      </c>
      <c r="Q8" s="42" t="s">
        <v>94</v>
      </c>
      <c r="R8" s="42" t="s">
        <v>94</v>
      </c>
      <c r="S8" s="45">
        <f t="shared" si="1"/>
        <v>90150</v>
      </c>
    </row>
    <row r="9" spans="2:41" ht="17.25" customHeight="1" x14ac:dyDescent="0.35">
      <c r="B9" s="39" t="s">
        <v>253</v>
      </c>
      <c r="C9" s="40" t="s">
        <v>254</v>
      </c>
      <c r="D9" s="41" t="s">
        <v>53</v>
      </c>
      <c r="E9" s="39" t="s">
        <v>72</v>
      </c>
      <c r="F9" s="39" t="s">
        <v>73</v>
      </c>
      <c r="G9" s="42" t="s">
        <v>107</v>
      </c>
      <c r="H9" s="39" t="s">
        <v>108</v>
      </c>
      <c r="I9" s="43">
        <v>46245.566770833335</v>
      </c>
      <c r="J9" s="43">
        <v>46245.706875000003</v>
      </c>
      <c r="K9" s="44">
        <v>112082</v>
      </c>
      <c r="L9" s="44">
        <v>0</v>
      </c>
      <c r="M9" s="44">
        <v>16068</v>
      </c>
      <c r="N9" s="44">
        <v>0</v>
      </c>
      <c r="O9" s="44">
        <v>0</v>
      </c>
      <c r="P9" s="44">
        <v>128150</v>
      </c>
      <c r="Q9" s="42" t="s">
        <v>94</v>
      </c>
      <c r="R9" s="42" t="s">
        <v>94</v>
      </c>
      <c r="S9" s="45">
        <f t="shared" si="1"/>
        <v>128150</v>
      </c>
    </row>
    <row r="10" spans="2:41" ht="17.25" customHeight="1" x14ac:dyDescent="0.35">
      <c r="B10" s="39" t="s">
        <v>255</v>
      </c>
      <c r="C10" s="40" t="s">
        <v>256</v>
      </c>
      <c r="D10" s="41" t="s">
        <v>53</v>
      </c>
      <c r="E10" s="39" t="s">
        <v>72</v>
      </c>
      <c r="F10" s="39" t="s">
        <v>73</v>
      </c>
      <c r="G10" s="42" t="s">
        <v>107</v>
      </c>
      <c r="H10" s="39" t="s">
        <v>108</v>
      </c>
      <c r="I10" s="43">
        <v>46245.563703703701</v>
      </c>
      <c r="J10" s="43">
        <v>46245.698530092595</v>
      </c>
      <c r="K10" s="44">
        <v>112082</v>
      </c>
      <c r="L10" s="44">
        <v>0</v>
      </c>
      <c r="M10" s="44">
        <v>16068</v>
      </c>
      <c r="N10" s="44">
        <v>0</v>
      </c>
      <c r="O10" s="44">
        <v>0</v>
      </c>
      <c r="P10" s="44">
        <v>128150</v>
      </c>
      <c r="Q10" s="42" t="s">
        <v>94</v>
      </c>
      <c r="R10" s="42" t="s">
        <v>94</v>
      </c>
      <c r="S10" s="45">
        <f t="shared" si="1"/>
        <v>128150</v>
      </c>
    </row>
    <row r="11" spans="2:41" ht="17.25" customHeight="1" x14ac:dyDescent="0.35">
      <c r="B11" s="39" t="s">
        <v>257</v>
      </c>
      <c r="C11" s="40" t="s">
        <v>258</v>
      </c>
      <c r="D11" s="41" t="s">
        <v>55</v>
      </c>
      <c r="E11" s="39" t="s">
        <v>72</v>
      </c>
      <c r="F11" s="39" t="s">
        <v>73</v>
      </c>
      <c r="G11" s="42" t="s">
        <v>259</v>
      </c>
      <c r="H11" s="39" t="s">
        <v>260</v>
      </c>
      <c r="I11" s="43">
        <v>46240.514062499999</v>
      </c>
      <c r="J11" s="43">
        <v>46240.526365740741</v>
      </c>
      <c r="K11" s="44">
        <v>185000</v>
      </c>
      <c r="L11" s="44">
        <v>0</v>
      </c>
      <c r="M11" s="44">
        <v>0</v>
      </c>
      <c r="N11" s="44">
        <v>35150</v>
      </c>
      <c r="O11" s="44">
        <v>0</v>
      </c>
      <c r="P11" s="44">
        <v>220150</v>
      </c>
      <c r="Q11" s="42" t="s">
        <v>94</v>
      </c>
      <c r="R11" s="42" t="s">
        <v>94</v>
      </c>
      <c r="S11" s="45">
        <f t="shared" ref="S11" si="2">+P11</f>
        <v>220150</v>
      </c>
    </row>
    <row r="12" spans="2:41" ht="15" thickBot="1" x14ac:dyDescent="0.4">
      <c r="B12" s="30" t="s">
        <v>234</v>
      </c>
      <c r="C12" s="29"/>
      <c r="D12" s="56">
        <f>COUNTA(D2:D11)</f>
        <v>10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1"/>
      <c r="Q12" s="29"/>
      <c r="R12" s="29"/>
      <c r="S12" s="55">
        <f>SUM(S2:S11)</f>
        <v>533114913.85969794</v>
      </c>
    </row>
  </sheetData>
  <pageMargins left="0.7" right="0.7" top="0.75" bottom="0.75" header="0.3" footer="0.3"/>
  <pageSetup paperSize="2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3A63-F583-4756-B8C9-28AC0B3FF307}">
  <dimension ref="B1:AO6"/>
  <sheetViews>
    <sheetView zoomScale="80" zoomScaleNormal="80" workbookViewId="0">
      <selection activeCell="A5" sqref="A5:XFD5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221</v>
      </c>
      <c r="C2" s="40" t="s">
        <v>222</v>
      </c>
      <c r="D2" s="41" t="s">
        <v>0</v>
      </c>
      <c r="E2" s="39" t="s">
        <v>72</v>
      </c>
      <c r="F2" s="39" t="s">
        <v>73</v>
      </c>
      <c r="G2" s="42" t="s">
        <v>223</v>
      </c>
      <c r="H2" s="39" t="s">
        <v>224</v>
      </c>
      <c r="I2" s="43">
        <v>46231.622499999998</v>
      </c>
      <c r="J2" s="43">
        <v>46231.663958333331</v>
      </c>
      <c r="K2" s="44">
        <v>5220000</v>
      </c>
      <c r="L2" s="44">
        <v>0</v>
      </c>
      <c r="M2" s="44">
        <v>0</v>
      </c>
      <c r="N2" s="44">
        <v>991800</v>
      </c>
      <c r="O2" s="44">
        <v>0</v>
      </c>
      <c r="P2" s="44">
        <v>6211800</v>
      </c>
      <c r="Q2" s="42" t="s">
        <v>94</v>
      </c>
      <c r="R2" s="42" t="s">
        <v>94</v>
      </c>
      <c r="S2" s="45">
        <f>+P2</f>
        <v>6211800</v>
      </c>
    </row>
    <row r="3" spans="2:41" ht="17.25" customHeight="1" x14ac:dyDescent="0.35">
      <c r="B3" s="39" t="s">
        <v>225</v>
      </c>
      <c r="C3" s="40" t="s">
        <v>226</v>
      </c>
      <c r="D3" s="41" t="s">
        <v>55</v>
      </c>
      <c r="E3" s="39" t="s">
        <v>72</v>
      </c>
      <c r="F3" s="39" t="s">
        <v>73</v>
      </c>
      <c r="G3" s="42" t="s">
        <v>78</v>
      </c>
      <c r="H3" s="39" t="s">
        <v>79</v>
      </c>
      <c r="I3" s="43">
        <v>46225.701481481483</v>
      </c>
      <c r="J3" s="43">
        <v>46225.709456018521</v>
      </c>
      <c r="K3" s="44">
        <v>315000</v>
      </c>
      <c r="L3" s="44">
        <v>0</v>
      </c>
      <c r="M3" s="44">
        <v>0</v>
      </c>
      <c r="N3" s="44">
        <v>59850</v>
      </c>
      <c r="O3" s="44">
        <v>0</v>
      </c>
      <c r="P3" s="44">
        <v>374850</v>
      </c>
      <c r="Q3" s="42" t="s">
        <v>94</v>
      </c>
      <c r="R3" s="42" t="s">
        <v>94</v>
      </c>
      <c r="S3" s="45">
        <f t="shared" ref="S3:S5" si="0">+P3</f>
        <v>374850</v>
      </c>
    </row>
    <row r="4" spans="2:41" ht="17.25" customHeight="1" x14ac:dyDescent="0.35">
      <c r="B4" s="39" t="s">
        <v>227</v>
      </c>
      <c r="C4" s="40" t="s">
        <v>228</v>
      </c>
      <c r="D4" s="41" t="s">
        <v>55</v>
      </c>
      <c r="E4" s="39" t="s">
        <v>72</v>
      </c>
      <c r="F4" s="39" t="s">
        <v>73</v>
      </c>
      <c r="G4" s="42" t="s">
        <v>229</v>
      </c>
      <c r="H4" s="39" t="s">
        <v>230</v>
      </c>
      <c r="I4" s="43">
        <v>46218.638888888891</v>
      </c>
      <c r="J4" s="43">
        <v>46218.652488425927</v>
      </c>
      <c r="K4" s="44">
        <v>531810</v>
      </c>
      <c r="L4" s="44">
        <v>0</v>
      </c>
      <c r="M4" s="44">
        <v>0</v>
      </c>
      <c r="N4" s="44">
        <v>101043.9</v>
      </c>
      <c r="O4" s="44">
        <v>0</v>
      </c>
      <c r="P4" s="44">
        <v>632853.9</v>
      </c>
      <c r="Q4" s="42" t="s">
        <v>94</v>
      </c>
      <c r="R4" s="42" t="s">
        <v>94</v>
      </c>
      <c r="S4" s="45">
        <f t="shared" si="0"/>
        <v>632853.9</v>
      </c>
    </row>
    <row r="5" spans="2:41" ht="17.25" customHeight="1" x14ac:dyDescent="0.35">
      <c r="B5" s="39" t="s">
        <v>231</v>
      </c>
      <c r="C5" s="40" t="s">
        <v>232</v>
      </c>
      <c r="D5" s="41" t="s">
        <v>55</v>
      </c>
      <c r="E5" s="39" t="s">
        <v>72</v>
      </c>
      <c r="F5" s="39" t="s">
        <v>73</v>
      </c>
      <c r="G5" s="42" t="s">
        <v>78</v>
      </c>
      <c r="H5" s="39" t="s">
        <v>79</v>
      </c>
      <c r="I5" s="43">
        <v>46205.673263888886</v>
      </c>
      <c r="J5" s="43">
        <v>46205.683125000003</v>
      </c>
      <c r="K5" s="44">
        <v>1214905</v>
      </c>
      <c r="L5" s="44">
        <v>0</v>
      </c>
      <c r="M5" s="44">
        <v>0</v>
      </c>
      <c r="N5" s="44">
        <v>230831.95</v>
      </c>
      <c r="O5" s="44">
        <v>0</v>
      </c>
      <c r="P5" s="44">
        <v>1445736.95</v>
      </c>
      <c r="Q5" s="42" t="s">
        <v>94</v>
      </c>
      <c r="R5" s="42" t="s">
        <v>94</v>
      </c>
      <c r="S5" s="45">
        <f t="shared" si="0"/>
        <v>1445736.95</v>
      </c>
    </row>
    <row r="6" spans="2:41" ht="15" thickBot="1" x14ac:dyDescent="0.4">
      <c r="B6" s="30" t="s">
        <v>220</v>
      </c>
      <c r="C6" s="29"/>
      <c r="D6" s="56">
        <f>COUNTA(D2:D5)</f>
        <v>4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1"/>
      <c r="Q6" s="29"/>
      <c r="R6" s="29"/>
      <c r="S6" s="55">
        <f>SUM(S2:S5)</f>
        <v>8665240.8499999996</v>
      </c>
    </row>
  </sheetData>
  <pageMargins left="0.7" right="0.7" top="0.75" bottom="0.75" header="0.3" footer="0.3"/>
  <pageSetup paperSize="2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6372-1EB0-461C-9B29-2518704DF9A8}">
  <dimension ref="B1:AO12"/>
  <sheetViews>
    <sheetView zoomScale="80" zoomScaleNormal="80" workbookViewId="0">
      <selection activeCell="D2" sqref="D2:D3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183</v>
      </c>
      <c r="C2" s="40" t="s">
        <v>184</v>
      </c>
      <c r="D2" s="41" t="s">
        <v>0</v>
      </c>
      <c r="E2" s="39" t="s">
        <v>72</v>
      </c>
      <c r="F2" s="39" t="s">
        <v>73</v>
      </c>
      <c r="G2" s="42" t="s">
        <v>185</v>
      </c>
      <c r="H2" s="39" t="s">
        <v>186</v>
      </c>
      <c r="I2" s="43">
        <v>46199.634722222225</v>
      </c>
      <c r="J2" s="43">
        <v>46199.655462962961</v>
      </c>
      <c r="K2" s="44">
        <v>30650436</v>
      </c>
      <c r="L2" s="44">
        <v>0</v>
      </c>
      <c r="M2" s="44">
        <v>0</v>
      </c>
      <c r="N2" s="44">
        <v>5823582.8399999999</v>
      </c>
      <c r="O2" s="44">
        <v>0</v>
      </c>
      <c r="P2" s="44">
        <v>36474018.840000004</v>
      </c>
      <c r="Q2" s="42" t="s">
        <v>94</v>
      </c>
      <c r="R2" s="42" t="s">
        <v>94</v>
      </c>
      <c r="S2" s="45">
        <f>+P2</f>
        <v>36474018.840000004</v>
      </c>
    </row>
    <row r="3" spans="2:41" ht="17.25" customHeight="1" x14ac:dyDescent="0.35">
      <c r="B3" s="39" t="s">
        <v>187</v>
      </c>
      <c r="C3" s="40" t="s">
        <v>188</v>
      </c>
      <c r="D3" s="41" t="s">
        <v>55</v>
      </c>
      <c r="E3" s="39" t="s">
        <v>72</v>
      </c>
      <c r="F3" s="39" t="s">
        <v>73</v>
      </c>
      <c r="G3" s="42" t="s">
        <v>189</v>
      </c>
      <c r="H3" s="39" t="s">
        <v>190</v>
      </c>
      <c r="I3" s="43">
        <v>46198.39634259259</v>
      </c>
      <c r="J3" s="43">
        <v>46198.432256944441</v>
      </c>
      <c r="K3" s="44">
        <v>5042017</v>
      </c>
      <c r="L3" s="44">
        <v>0</v>
      </c>
      <c r="M3" s="44">
        <v>0</v>
      </c>
      <c r="N3" s="44">
        <v>957983.23</v>
      </c>
      <c r="O3" s="44">
        <v>0</v>
      </c>
      <c r="P3" s="44">
        <v>6000000.2300000004</v>
      </c>
      <c r="Q3" s="42" t="s">
        <v>94</v>
      </c>
      <c r="R3" s="42" t="s">
        <v>94</v>
      </c>
      <c r="S3" s="45">
        <f t="shared" ref="S3:S11" si="0">+P3</f>
        <v>6000000.2300000004</v>
      </c>
    </row>
    <row r="4" spans="2:41" ht="17.25" customHeight="1" x14ac:dyDescent="0.35">
      <c r="B4" s="39" t="s">
        <v>191</v>
      </c>
      <c r="C4" s="40" t="s">
        <v>116</v>
      </c>
      <c r="D4" s="41" t="s">
        <v>27</v>
      </c>
      <c r="E4" s="39" t="s">
        <v>72</v>
      </c>
      <c r="F4" s="39" t="s">
        <v>73</v>
      </c>
      <c r="G4" s="42" t="s">
        <v>117</v>
      </c>
      <c r="H4" s="39" t="s">
        <v>118</v>
      </c>
      <c r="I4" s="43">
        <v>46197.401134259257</v>
      </c>
      <c r="J4" s="43">
        <v>46197.417870370373</v>
      </c>
      <c r="K4" s="44">
        <v>3460828.5</v>
      </c>
      <c r="L4" s="44">
        <v>0</v>
      </c>
      <c r="M4" s="44">
        <v>0</v>
      </c>
      <c r="N4" s="44">
        <v>657557.41500000004</v>
      </c>
      <c r="O4" s="44">
        <v>0</v>
      </c>
      <c r="P4" s="44">
        <v>4118385.915</v>
      </c>
      <c r="Q4" s="42" t="s">
        <v>94</v>
      </c>
      <c r="R4" s="42" t="s">
        <v>94</v>
      </c>
      <c r="S4" s="45">
        <f t="shared" si="0"/>
        <v>4118385.915</v>
      </c>
    </row>
    <row r="5" spans="2:41" ht="17.25" customHeight="1" x14ac:dyDescent="0.35">
      <c r="B5" s="39" t="s">
        <v>192</v>
      </c>
      <c r="C5" s="40" t="s">
        <v>193</v>
      </c>
      <c r="D5" s="41" t="s">
        <v>0</v>
      </c>
      <c r="E5" s="39" t="s">
        <v>72</v>
      </c>
      <c r="F5" s="39" t="s">
        <v>73</v>
      </c>
      <c r="G5" s="42" t="s">
        <v>194</v>
      </c>
      <c r="H5" s="39" t="s">
        <v>195</v>
      </c>
      <c r="I5" s="43">
        <v>46195.376608796294</v>
      </c>
      <c r="J5" s="43">
        <v>46195.380624999998</v>
      </c>
      <c r="K5" s="44">
        <v>25210084</v>
      </c>
      <c r="L5" s="44">
        <v>0</v>
      </c>
      <c r="M5" s="44">
        <v>0</v>
      </c>
      <c r="N5" s="44">
        <v>4789915.96</v>
      </c>
      <c r="O5" s="44">
        <v>0</v>
      </c>
      <c r="P5" s="44">
        <v>29999999.960000001</v>
      </c>
      <c r="Q5" s="42" t="s">
        <v>94</v>
      </c>
      <c r="R5" s="42" t="s">
        <v>94</v>
      </c>
      <c r="S5" s="45">
        <f t="shared" si="0"/>
        <v>29999999.960000001</v>
      </c>
    </row>
    <row r="6" spans="2:41" ht="17.25" customHeight="1" x14ac:dyDescent="0.35">
      <c r="B6" s="39" t="s">
        <v>196</v>
      </c>
      <c r="C6" s="40" t="s">
        <v>197</v>
      </c>
      <c r="D6" s="41" t="s">
        <v>55</v>
      </c>
      <c r="E6" s="39" t="s">
        <v>72</v>
      </c>
      <c r="F6" s="39" t="s">
        <v>73</v>
      </c>
      <c r="G6" s="42" t="s">
        <v>198</v>
      </c>
      <c r="H6" s="39" t="s">
        <v>199</v>
      </c>
      <c r="I6" s="43">
        <v>46192.513414351852</v>
      </c>
      <c r="J6" s="43">
        <v>46192.524108796293</v>
      </c>
      <c r="K6" s="44">
        <v>4329807</v>
      </c>
      <c r="L6" s="44">
        <v>0</v>
      </c>
      <c r="M6" s="44">
        <v>0</v>
      </c>
      <c r="N6" s="44">
        <v>822663.33</v>
      </c>
      <c r="O6" s="44">
        <v>0</v>
      </c>
      <c r="P6" s="44">
        <v>5152470.33</v>
      </c>
      <c r="Q6" s="42" t="s">
        <v>94</v>
      </c>
      <c r="R6" s="42" t="s">
        <v>94</v>
      </c>
      <c r="S6" s="45">
        <f t="shared" si="0"/>
        <v>5152470.33</v>
      </c>
    </row>
    <row r="7" spans="2:41" ht="17.25" customHeight="1" x14ac:dyDescent="0.35">
      <c r="B7" s="39" t="s">
        <v>200</v>
      </c>
      <c r="C7" s="40" t="s">
        <v>201</v>
      </c>
      <c r="D7" s="41" t="s">
        <v>55</v>
      </c>
      <c r="E7" s="39" t="s">
        <v>72</v>
      </c>
      <c r="F7" s="39" t="s">
        <v>73</v>
      </c>
      <c r="G7" s="42" t="s">
        <v>202</v>
      </c>
      <c r="H7" s="39" t="s">
        <v>203</v>
      </c>
      <c r="I7" s="43">
        <v>46185.457627314812</v>
      </c>
      <c r="J7" s="43">
        <v>46185.486840277779</v>
      </c>
      <c r="K7" s="44">
        <v>400000</v>
      </c>
      <c r="L7" s="44">
        <v>0</v>
      </c>
      <c r="M7" s="44">
        <v>0</v>
      </c>
      <c r="N7" s="44">
        <v>76000</v>
      </c>
      <c r="O7" s="44">
        <v>0</v>
      </c>
      <c r="P7" s="44">
        <v>476000</v>
      </c>
      <c r="Q7" s="42" t="s">
        <v>94</v>
      </c>
      <c r="R7" s="42" t="s">
        <v>94</v>
      </c>
      <c r="S7" s="45">
        <f t="shared" si="0"/>
        <v>476000</v>
      </c>
    </row>
    <row r="8" spans="2:41" ht="17.25" customHeight="1" x14ac:dyDescent="0.35">
      <c r="B8" s="39" t="s">
        <v>204</v>
      </c>
      <c r="C8" s="40" t="s">
        <v>205</v>
      </c>
      <c r="D8" s="41" t="s">
        <v>53</v>
      </c>
      <c r="E8" s="39" t="s">
        <v>72</v>
      </c>
      <c r="F8" s="39" t="s">
        <v>73</v>
      </c>
      <c r="G8" s="42" t="s">
        <v>107</v>
      </c>
      <c r="H8" s="39" t="s">
        <v>108</v>
      </c>
      <c r="I8" s="43">
        <v>46183.512708333335</v>
      </c>
      <c r="J8" s="43">
        <v>46183.52847222222</v>
      </c>
      <c r="K8" s="44">
        <v>171029</v>
      </c>
      <c r="L8" s="44">
        <v>0</v>
      </c>
      <c r="M8" s="44">
        <v>15846</v>
      </c>
      <c r="N8" s="44">
        <v>0</v>
      </c>
      <c r="O8" s="44">
        <v>0</v>
      </c>
      <c r="P8" s="44">
        <v>186875</v>
      </c>
      <c r="Q8" s="42" t="s">
        <v>94</v>
      </c>
      <c r="R8" s="42" t="s">
        <v>94</v>
      </c>
      <c r="S8" s="45">
        <f t="shared" si="0"/>
        <v>186875</v>
      </c>
    </row>
    <row r="9" spans="2:41" ht="17.25" customHeight="1" x14ac:dyDescent="0.35">
      <c r="B9" s="39" t="s">
        <v>206</v>
      </c>
      <c r="C9" s="40" t="s">
        <v>207</v>
      </c>
      <c r="D9" s="41" t="s">
        <v>55</v>
      </c>
      <c r="E9" s="39" t="s">
        <v>72</v>
      </c>
      <c r="F9" s="39" t="s">
        <v>73</v>
      </c>
      <c r="G9" s="42" t="s">
        <v>208</v>
      </c>
      <c r="H9" s="39" t="s">
        <v>209</v>
      </c>
      <c r="I9" s="43">
        <v>46178.407141203701</v>
      </c>
      <c r="J9" s="43">
        <v>46178.411979166667</v>
      </c>
      <c r="K9" s="44">
        <v>105042</v>
      </c>
      <c r="L9" s="44">
        <v>0</v>
      </c>
      <c r="M9" s="44">
        <v>0</v>
      </c>
      <c r="N9" s="44">
        <v>19957.98</v>
      </c>
      <c r="O9" s="44">
        <v>0</v>
      </c>
      <c r="P9" s="44">
        <v>124999.98</v>
      </c>
      <c r="Q9" s="42" t="s">
        <v>94</v>
      </c>
      <c r="R9" s="42" t="s">
        <v>94</v>
      </c>
      <c r="S9" s="45">
        <f t="shared" si="0"/>
        <v>124999.98</v>
      </c>
    </row>
    <row r="10" spans="2:41" ht="17.25" customHeight="1" x14ac:dyDescent="0.35">
      <c r="B10" s="39" t="s">
        <v>210</v>
      </c>
      <c r="C10" s="40" t="s">
        <v>211</v>
      </c>
      <c r="D10" s="41" t="s">
        <v>55</v>
      </c>
      <c r="E10" s="39" t="s">
        <v>72</v>
      </c>
      <c r="F10" s="39" t="s">
        <v>73</v>
      </c>
      <c r="G10" s="42" t="s">
        <v>212</v>
      </c>
      <c r="H10" s="39" t="s">
        <v>213</v>
      </c>
      <c r="I10" s="43">
        <v>46174.461157407408</v>
      </c>
      <c r="J10" s="43">
        <v>46174.522256944445</v>
      </c>
      <c r="K10" s="44">
        <v>830000</v>
      </c>
      <c r="L10" s="44">
        <v>0</v>
      </c>
      <c r="M10" s="44">
        <v>0</v>
      </c>
      <c r="N10" s="44">
        <v>157700</v>
      </c>
      <c r="O10" s="44">
        <v>0</v>
      </c>
      <c r="P10" s="44">
        <v>987700</v>
      </c>
      <c r="Q10" s="42" t="s">
        <v>94</v>
      </c>
      <c r="R10" s="42" t="s">
        <v>94</v>
      </c>
      <c r="S10" s="45">
        <f t="shared" si="0"/>
        <v>987700</v>
      </c>
    </row>
    <row r="11" spans="2:41" ht="17.25" customHeight="1" x14ac:dyDescent="0.35">
      <c r="B11" s="39" t="s">
        <v>214</v>
      </c>
      <c r="C11" s="40" t="s">
        <v>215</v>
      </c>
      <c r="D11" s="41" t="s">
        <v>55</v>
      </c>
      <c r="E11" s="39" t="s">
        <v>72</v>
      </c>
      <c r="F11" s="39" t="s">
        <v>73</v>
      </c>
      <c r="G11" s="42" t="s">
        <v>216</v>
      </c>
      <c r="H11" s="39" t="s">
        <v>217</v>
      </c>
      <c r="I11" s="43">
        <v>46174.389189814814</v>
      </c>
      <c r="J11" s="43">
        <v>46174.394814814812</v>
      </c>
      <c r="K11" s="44">
        <v>600000</v>
      </c>
      <c r="L11" s="44">
        <v>0</v>
      </c>
      <c r="M11" s="44">
        <v>0</v>
      </c>
      <c r="N11" s="44">
        <v>114000</v>
      </c>
      <c r="O11" s="44">
        <v>0</v>
      </c>
      <c r="P11" s="44">
        <v>714000</v>
      </c>
      <c r="Q11" s="42" t="s">
        <v>94</v>
      </c>
      <c r="R11" s="42" t="s">
        <v>94</v>
      </c>
      <c r="S11" s="45">
        <f t="shared" si="0"/>
        <v>714000</v>
      </c>
    </row>
    <row r="12" spans="2:41" ht="15" thickBot="1" x14ac:dyDescent="0.4">
      <c r="B12" s="30" t="s">
        <v>182</v>
      </c>
      <c r="C12" s="29"/>
      <c r="D12" s="56">
        <f>COUNTA(D2:D11)</f>
        <v>10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1"/>
      <c r="Q12" s="29"/>
      <c r="R12" s="29"/>
      <c r="S12" s="55">
        <f>SUM(S2:S11)</f>
        <v>84234450.25500001</v>
      </c>
    </row>
  </sheetData>
  <pageMargins left="0.7" right="0.7" top="0.75" bottom="0.75" header="0.3" footer="0.3"/>
  <pageSetup paperSize="2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502B-D1A7-48FB-A78C-5C9D448BACD1}">
  <dimension ref="B1:AO6"/>
  <sheetViews>
    <sheetView zoomScale="80" zoomScaleNormal="80" workbookViewId="0">
      <selection activeCell="D3" sqref="D3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163</v>
      </c>
      <c r="C2" s="40" t="s">
        <v>164</v>
      </c>
      <c r="D2" s="41" t="s">
        <v>55</v>
      </c>
      <c r="E2" s="39" t="s">
        <v>72</v>
      </c>
      <c r="F2" s="39" t="s">
        <v>73</v>
      </c>
      <c r="G2" s="42" t="s">
        <v>165</v>
      </c>
      <c r="H2" s="39" t="s">
        <v>166</v>
      </c>
      <c r="I2" s="43">
        <v>46167.514178240737</v>
      </c>
      <c r="J2" s="43">
        <v>46167.533773148149</v>
      </c>
      <c r="K2" s="44">
        <v>1399720</v>
      </c>
      <c r="L2" s="44">
        <v>0</v>
      </c>
      <c r="M2" s="44">
        <v>0</v>
      </c>
      <c r="N2" s="44">
        <v>265946.8</v>
      </c>
      <c r="O2" s="44">
        <v>0</v>
      </c>
      <c r="P2" s="44">
        <v>1665666.8</v>
      </c>
      <c r="Q2" s="42" t="s">
        <v>94</v>
      </c>
      <c r="R2" s="42" t="s">
        <v>94</v>
      </c>
      <c r="S2" s="45">
        <f>+P2</f>
        <v>1665666.8</v>
      </c>
    </row>
    <row r="3" spans="2:41" ht="17.25" customHeight="1" x14ac:dyDescent="0.35">
      <c r="B3" s="39" t="s">
        <v>167</v>
      </c>
      <c r="C3" s="40" t="s">
        <v>168</v>
      </c>
      <c r="D3" s="41" t="s">
        <v>55</v>
      </c>
      <c r="E3" s="39" t="s">
        <v>72</v>
      </c>
      <c r="F3" s="39" t="s">
        <v>73</v>
      </c>
      <c r="G3" s="42" t="s">
        <v>169</v>
      </c>
      <c r="H3" s="39" t="s">
        <v>170</v>
      </c>
      <c r="I3" s="43">
        <v>46156.399247685185</v>
      </c>
      <c r="J3" s="43">
        <v>46156.415520833332</v>
      </c>
      <c r="K3" s="44">
        <v>619400</v>
      </c>
      <c r="L3" s="44">
        <v>0</v>
      </c>
      <c r="M3" s="44">
        <v>0</v>
      </c>
      <c r="N3" s="44">
        <v>117686</v>
      </c>
      <c r="O3" s="44">
        <v>0</v>
      </c>
      <c r="P3" s="44">
        <v>737086</v>
      </c>
      <c r="Q3" s="42" t="s">
        <v>94</v>
      </c>
      <c r="R3" s="42" t="s">
        <v>94</v>
      </c>
      <c r="S3" s="45">
        <f t="shared" ref="S3:S5" si="0">+P3</f>
        <v>737086</v>
      </c>
    </row>
    <row r="4" spans="2:41" ht="17.25" customHeight="1" x14ac:dyDescent="0.35">
      <c r="B4" s="39" t="s">
        <v>171</v>
      </c>
      <c r="C4" s="40" t="s">
        <v>172</v>
      </c>
      <c r="D4" s="41" t="s">
        <v>55</v>
      </c>
      <c r="E4" s="39" t="s">
        <v>72</v>
      </c>
      <c r="F4" s="39" t="s">
        <v>73</v>
      </c>
      <c r="G4" s="42" t="s">
        <v>173</v>
      </c>
      <c r="H4" s="39" t="s">
        <v>174</v>
      </c>
      <c r="I4" s="43">
        <v>46154.69703703704</v>
      </c>
      <c r="J4" s="43">
        <v>46154.718171296299</v>
      </c>
      <c r="K4" s="44">
        <v>265000</v>
      </c>
      <c r="L4" s="44">
        <v>0</v>
      </c>
      <c r="M4" s="44">
        <v>0</v>
      </c>
      <c r="N4" s="44">
        <v>50350</v>
      </c>
      <c r="O4" s="44">
        <v>0</v>
      </c>
      <c r="P4" s="44">
        <v>315350</v>
      </c>
      <c r="Q4" s="42" t="s">
        <v>94</v>
      </c>
      <c r="R4" s="42" t="s">
        <v>94</v>
      </c>
      <c r="S4" s="45">
        <f t="shared" si="0"/>
        <v>315350</v>
      </c>
    </row>
    <row r="5" spans="2:41" ht="17.25" customHeight="1" x14ac:dyDescent="0.35">
      <c r="B5" s="39" t="s">
        <v>175</v>
      </c>
      <c r="C5" s="40" t="s">
        <v>176</v>
      </c>
      <c r="D5" s="41" t="s">
        <v>55</v>
      </c>
      <c r="E5" s="39" t="s">
        <v>72</v>
      </c>
      <c r="F5" s="39" t="s">
        <v>73</v>
      </c>
      <c r="G5" s="42" t="s">
        <v>177</v>
      </c>
      <c r="H5" s="39" t="s">
        <v>178</v>
      </c>
      <c r="I5" s="43">
        <v>46146.695717592593</v>
      </c>
      <c r="J5" s="43">
        <v>46146.705300925925</v>
      </c>
      <c r="K5" s="44">
        <v>520800</v>
      </c>
      <c r="L5" s="44">
        <v>0</v>
      </c>
      <c r="M5" s="44">
        <v>0</v>
      </c>
      <c r="N5" s="44">
        <v>98952</v>
      </c>
      <c r="O5" s="44">
        <v>0</v>
      </c>
      <c r="P5" s="44">
        <v>619752</v>
      </c>
      <c r="Q5" s="42" t="s">
        <v>94</v>
      </c>
      <c r="R5" s="42" t="s">
        <v>94</v>
      </c>
      <c r="S5" s="45">
        <f t="shared" si="0"/>
        <v>619752</v>
      </c>
    </row>
    <row r="6" spans="2:41" ht="15" thickBot="1" x14ac:dyDescent="0.4">
      <c r="B6" s="30" t="s">
        <v>162</v>
      </c>
      <c r="C6" s="29"/>
      <c r="D6" s="56">
        <f>COUNTA(D2:D5)</f>
        <v>4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1"/>
      <c r="Q6" s="29"/>
      <c r="R6" s="29"/>
      <c r="S6" s="55">
        <f>SUM(S2:S5)</f>
        <v>3337854.8</v>
      </c>
    </row>
  </sheetData>
  <pageMargins left="0.7" right="0.7" top="0.75" bottom="0.75" header="0.3" footer="0.3"/>
  <pageSetup paperSize="2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AFB6B-4621-45E4-A1EA-EFBC909F41AE}">
  <dimension ref="B1:AO10"/>
  <sheetViews>
    <sheetView zoomScale="80" zoomScaleNormal="80" workbookViewId="0">
      <selection activeCell="A8" sqref="A8:XFD8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133</v>
      </c>
      <c r="C2" s="40" t="s">
        <v>134</v>
      </c>
      <c r="D2" s="41" t="s">
        <v>55</v>
      </c>
      <c r="E2" s="39" t="s">
        <v>72</v>
      </c>
      <c r="F2" s="39" t="s">
        <v>73</v>
      </c>
      <c r="G2" s="42" t="s">
        <v>135</v>
      </c>
      <c r="H2" s="39" t="s">
        <v>136</v>
      </c>
      <c r="I2" s="43">
        <v>46139.460231481484</v>
      </c>
      <c r="J2" s="43">
        <v>46139.468182870369</v>
      </c>
      <c r="K2" s="44">
        <v>3960000</v>
      </c>
      <c r="L2" s="44">
        <v>0</v>
      </c>
      <c r="M2" s="44">
        <v>0</v>
      </c>
      <c r="N2" s="44">
        <v>0</v>
      </c>
      <c r="O2" s="44">
        <v>0</v>
      </c>
      <c r="P2" s="44">
        <v>3960000</v>
      </c>
      <c r="Q2" s="42" t="s">
        <v>94</v>
      </c>
      <c r="R2" s="42" t="s">
        <v>94</v>
      </c>
      <c r="S2" s="45">
        <f>+P2</f>
        <v>3960000</v>
      </c>
    </row>
    <row r="3" spans="2:41" ht="17.25" customHeight="1" x14ac:dyDescent="0.35">
      <c r="B3" s="39" t="s">
        <v>137</v>
      </c>
      <c r="C3" s="40" t="s">
        <v>138</v>
      </c>
      <c r="D3" s="41" t="s">
        <v>55</v>
      </c>
      <c r="E3" s="39" t="s">
        <v>72</v>
      </c>
      <c r="F3" s="39" t="s">
        <v>73</v>
      </c>
      <c r="G3" s="42" t="s">
        <v>78</v>
      </c>
      <c r="H3" s="39" t="s">
        <v>79</v>
      </c>
      <c r="I3" s="43">
        <v>46139.402094907404</v>
      </c>
      <c r="J3" s="43">
        <v>46139.412175925929</v>
      </c>
      <c r="K3" s="44">
        <v>1597474</v>
      </c>
      <c r="L3" s="44">
        <v>0</v>
      </c>
      <c r="M3" s="44">
        <v>0</v>
      </c>
      <c r="N3" s="44">
        <v>303520.06</v>
      </c>
      <c r="O3" s="44">
        <v>0</v>
      </c>
      <c r="P3" s="44">
        <v>1900994.06</v>
      </c>
      <c r="Q3" s="42" t="s">
        <v>94</v>
      </c>
      <c r="R3" s="42" t="s">
        <v>94</v>
      </c>
      <c r="S3" s="45">
        <f t="shared" ref="S3:S9" si="0">+P3</f>
        <v>1900994.06</v>
      </c>
    </row>
    <row r="4" spans="2:41" ht="17.25" customHeight="1" x14ac:dyDescent="0.35">
      <c r="B4" s="39" t="s">
        <v>139</v>
      </c>
      <c r="C4" s="40" t="s">
        <v>140</v>
      </c>
      <c r="D4" s="41" t="s">
        <v>55</v>
      </c>
      <c r="E4" s="39" t="s">
        <v>72</v>
      </c>
      <c r="F4" s="39" t="s">
        <v>73</v>
      </c>
      <c r="G4" s="42" t="s">
        <v>78</v>
      </c>
      <c r="H4" s="39" t="s">
        <v>79</v>
      </c>
      <c r="I4" s="43">
        <v>46135.68608796296</v>
      </c>
      <c r="J4" s="43">
        <v>46135.692650462966</v>
      </c>
      <c r="K4" s="44">
        <v>2173138</v>
      </c>
      <c r="L4" s="44">
        <v>0</v>
      </c>
      <c r="M4" s="44">
        <v>0</v>
      </c>
      <c r="N4" s="44">
        <v>412896.22</v>
      </c>
      <c r="O4" s="44">
        <v>0</v>
      </c>
      <c r="P4" s="44">
        <v>2586034.2200000002</v>
      </c>
      <c r="Q4" s="42" t="s">
        <v>94</v>
      </c>
      <c r="R4" s="42" t="s">
        <v>94</v>
      </c>
      <c r="S4" s="45">
        <f t="shared" si="0"/>
        <v>2586034.2200000002</v>
      </c>
    </row>
    <row r="5" spans="2:41" ht="17.25" customHeight="1" x14ac:dyDescent="0.35">
      <c r="B5" s="39" t="s">
        <v>141</v>
      </c>
      <c r="C5" s="40" t="s">
        <v>142</v>
      </c>
      <c r="D5" s="41" t="s">
        <v>55</v>
      </c>
      <c r="E5" s="39" t="s">
        <v>72</v>
      </c>
      <c r="F5" s="39" t="s">
        <v>73</v>
      </c>
      <c r="G5" s="42" t="s">
        <v>143</v>
      </c>
      <c r="H5" s="39" t="s">
        <v>144</v>
      </c>
      <c r="I5" s="43">
        <v>46121.504907407405</v>
      </c>
      <c r="J5" s="43">
        <v>46121.528564814813</v>
      </c>
      <c r="K5" s="44">
        <v>572666</v>
      </c>
      <c r="L5" s="44">
        <v>0</v>
      </c>
      <c r="M5" s="44">
        <v>25000</v>
      </c>
      <c r="N5" s="44">
        <v>113556.54</v>
      </c>
      <c r="O5" s="44">
        <v>0</v>
      </c>
      <c r="P5" s="44">
        <v>711222.54</v>
      </c>
      <c r="Q5" s="42" t="s">
        <v>94</v>
      </c>
      <c r="R5" s="42" t="s">
        <v>94</v>
      </c>
      <c r="S5" s="45">
        <f t="shared" si="0"/>
        <v>711222.54</v>
      </c>
    </row>
    <row r="6" spans="2:41" ht="17.25" customHeight="1" x14ac:dyDescent="0.35">
      <c r="B6" s="39" t="s">
        <v>145</v>
      </c>
      <c r="C6" s="40" t="s">
        <v>146</v>
      </c>
      <c r="D6" s="41" t="s">
        <v>55</v>
      </c>
      <c r="E6" s="39" t="s">
        <v>72</v>
      </c>
      <c r="F6" s="39" t="s">
        <v>73</v>
      </c>
      <c r="G6" s="42" t="s">
        <v>147</v>
      </c>
      <c r="H6" s="39" t="s">
        <v>148</v>
      </c>
      <c r="I6" s="43">
        <v>46120.643622685187</v>
      </c>
      <c r="J6" s="43">
        <v>46120.662627314814</v>
      </c>
      <c r="K6" s="44">
        <v>546219</v>
      </c>
      <c r="L6" s="44">
        <v>0</v>
      </c>
      <c r="M6" s="44">
        <v>0</v>
      </c>
      <c r="N6" s="44">
        <v>103781.61</v>
      </c>
      <c r="O6" s="44">
        <v>0</v>
      </c>
      <c r="P6" s="44">
        <v>650000.61</v>
      </c>
      <c r="Q6" s="42" t="s">
        <v>94</v>
      </c>
      <c r="R6" s="42" t="s">
        <v>94</v>
      </c>
      <c r="S6" s="45">
        <f t="shared" si="0"/>
        <v>650000.61</v>
      </c>
    </row>
    <row r="7" spans="2:41" ht="17.25" customHeight="1" x14ac:dyDescent="0.35">
      <c r="B7" s="39" t="s">
        <v>149</v>
      </c>
      <c r="C7" s="40" t="s">
        <v>150</v>
      </c>
      <c r="D7" s="41" t="s">
        <v>55</v>
      </c>
      <c r="E7" s="39" t="s">
        <v>72</v>
      </c>
      <c r="F7" s="39" t="s">
        <v>73</v>
      </c>
      <c r="G7" s="42" t="s">
        <v>151</v>
      </c>
      <c r="H7" s="39" t="s">
        <v>152</v>
      </c>
      <c r="I7" s="43">
        <v>46118.721296296295</v>
      </c>
      <c r="J7" s="43">
        <v>46118.726446759261</v>
      </c>
      <c r="K7" s="44">
        <v>705740</v>
      </c>
      <c r="L7" s="44">
        <v>0</v>
      </c>
      <c r="M7" s="44">
        <v>0</v>
      </c>
      <c r="N7" s="44">
        <v>134090.6</v>
      </c>
      <c r="O7" s="44">
        <v>0</v>
      </c>
      <c r="P7" s="44">
        <v>839830.6</v>
      </c>
      <c r="Q7" s="42" t="s">
        <v>94</v>
      </c>
      <c r="R7" s="42" t="s">
        <v>94</v>
      </c>
      <c r="S7" s="45">
        <f t="shared" si="0"/>
        <v>839830.6</v>
      </c>
    </row>
    <row r="8" spans="2:41" ht="17.25" customHeight="1" x14ac:dyDescent="0.35">
      <c r="B8" s="39" t="s">
        <v>153</v>
      </c>
      <c r="C8" s="40" t="s">
        <v>154</v>
      </c>
      <c r="D8" s="41" t="s">
        <v>55</v>
      </c>
      <c r="E8" s="39" t="s">
        <v>72</v>
      </c>
      <c r="F8" s="39" t="s">
        <v>73</v>
      </c>
      <c r="G8" s="42" t="s">
        <v>155</v>
      </c>
      <c r="H8" s="39" t="s">
        <v>156</v>
      </c>
      <c r="I8" s="43">
        <v>46114.516840277778</v>
      </c>
      <c r="J8" s="43">
        <v>46114.558692129627</v>
      </c>
      <c r="K8" s="44">
        <v>702000</v>
      </c>
      <c r="L8" s="44">
        <v>0</v>
      </c>
      <c r="M8" s="44">
        <v>0</v>
      </c>
      <c r="N8" s="44">
        <v>133380</v>
      </c>
      <c r="O8" s="44">
        <v>0</v>
      </c>
      <c r="P8" s="44">
        <v>835380</v>
      </c>
      <c r="Q8" s="42" t="s">
        <v>94</v>
      </c>
      <c r="R8" s="42" t="s">
        <v>94</v>
      </c>
      <c r="S8" s="45">
        <f t="shared" si="0"/>
        <v>835380</v>
      </c>
    </row>
    <row r="9" spans="2:41" ht="17.25" customHeight="1" x14ac:dyDescent="0.35">
      <c r="B9" s="39" t="s">
        <v>157</v>
      </c>
      <c r="C9" s="40" t="s">
        <v>158</v>
      </c>
      <c r="D9" s="41" t="s">
        <v>55</v>
      </c>
      <c r="E9" s="39" t="s">
        <v>72</v>
      </c>
      <c r="F9" s="39" t="s">
        <v>73</v>
      </c>
      <c r="G9" s="42" t="s">
        <v>159</v>
      </c>
      <c r="H9" s="39" t="s">
        <v>160</v>
      </c>
      <c r="I9" s="43">
        <v>46114.513865740744</v>
      </c>
      <c r="J9" s="43">
        <v>46114.54587962963</v>
      </c>
      <c r="K9" s="44">
        <v>2800000</v>
      </c>
      <c r="L9" s="44">
        <v>0</v>
      </c>
      <c r="M9" s="44">
        <v>0</v>
      </c>
      <c r="N9" s="44">
        <v>532000</v>
      </c>
      <c r="O9" s="44">
        <v>0</v>
      </c>
      <c r="P9" s="44">
        <v>3332000</v>
      </c>
      <c r="Q9" s="42" t="s">
        <v>94</v>
      </c>
      <c r="R9" s="42" t="s">
        <v>94</v>
      </c>
      <c r="S9" s="45">
        <f t="shared" si="0"/>
        <v>3332000</v>
      </c>
    </row>
    <row r="10" spans="2:41" ht="15" thickBot="1" x14ac:dyDescent="0.4">
      <c r="B10" s="30" t="s">
        <v>132</v>
      </c>
      <c r="C10" s="29"/>
      <c r="D10" s="56">
        <f>COUNTA(D2:D9)</f>
        <v>8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1"/>
      <c r="Q10" s="29"/>
      <c r="R10" s="29"/>
      <c r="S10" s="55">
        <f>SUM(S2:S9)</f>
        <v>14815462.029999999</v>
      </c>
    </row>
  </sheetData>
  <pageMargins left="0.7" right="0.7" top="0.75" bottom="0.75" header="0.3" footer="0.3"/>
  <pageSetup paperSize="2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3327-051B-4D66-8C2D-C3587AB908D5}">
  <dimension ref="B1:AO5"/>
  <sheetViews>
    <sheetView zoomScale="80" zoomScaleNormal="80" workbookViewId="0">
      <selection activeCell="D2" sqref="D2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120</v>
      </c>
      <c r="C2" s="40" t="s">
        <v>121</v>
      </c>
      <c r="D2" s="41" t="s">
        <v>0</v>
      </c>
      <c r="E2" s="39" t="s">
        <v>72</v>
      </c>
      <c r="F2" s="39" t="s">
        <v>73</v>
      </c>
      <c r="G2" s="42" t="s">
        <v>122</v>
      </c>
      <c r="H2" s="39" t="s">
        <v>123</v>
      </c>
      <c r="I2" s="43">
        <v>46104.440555555557</v>
      </c>
      <c r="J2" s="43">
        <v>46104.474374999998</v>
      </c>
      <c r="K2" s="44">
        <v>25210084</v>
      </c>
      <c r="L2" s="44">
        <v>0</v>
      </c>
      <c r="M2" s="44">
        <v>0</v>
      </c>
      <c r="N2" s="44">
        <v>4789915.96</v>
      </c>
      <c r="O2" s="44">
        <v>0</v>
      </c>
      <c r="P2" s="44">
        <v>29999999.960000001</v>
      </c>
      <c r="Q2" s="42" t="s">
        <v>94</v>
      </c>
      <c r="R2" s="42" t="s">
        <v>94</v>
      </c>
      <c r="S2" s="45">
        <f>+P2</f>
        <v>29999999.960000001</v>
      </c>
    </row>
    <row r="3" spans="2:41" ht="17.25" customHeight="1" x14ac:dyDescent="0.35">
      <c r="B3" s="39" t="s">
        <v>124</v>
      </c>
      <c r="C3" s="40" t="s">
        <v>125</v>
      </c>
      <c r="D3" s="41" t="s">
        <v>55</v>
      </c>
      <c r="E3" s="39" t="s">
        <v>72</v>
      </c>
      <c r="F3" s="39" t="s">
        <v>73</v>
      </c>
      <c r="G3" s="42" t="s">
        <v>126</v>
      </c>
      <c r="H3" s="39" t="s">
        <v>127</v>
      </c>
      <c r="I3" s="43">
        <v>46093.477164351854</v>
      </c>
      <c r="J3" s="43">
        <v>46093.491770833331</v>
      </c>
      <c r="K3" s="44">
        <v>384000</v>
      </c>
      <c r="L3" s="44">
        <v>0</v>
      </c>
      <c r="M3" s="44">
        <v>0</v>
      </c>
      <c r="N3" s="44">
        <v>72960</v>
      </c>
      <c r="O3" s="44">
        <v>0</v>
      </c>
      <c r="P3" s="44">
        <v>456960</v>
      </c>
      <c r="Q3" s="42" t="s">
        <v>94</v>
      </c>
      <c r="R3" s="42" t="s">
        <v>94</v>
      </c>
      <c r="S3" s="45">
        <f t="shared" ref="S3:S4" si="0">+P3</f>
        <v>456960</v>
      </c>
    </row>
    <row r="4" spans="2:41" ht="17.25" customHeight="1" x14ac:dyDescent="0.35">
      <c r="B4" s="39" t="s">
        <v>128</v>
      </c>
      <c r="C4" s="40" t="s">
        <v>129</v>
      </c>
      <c r="D4" s="41" t="s">
        <v>55</v>
      </c>
      <c r="E4" s="39" t="s">
        <v>72</v>
      </c>
      <c r="F4" s="39" t="s">
        <v>73</v>
      </c>
      <c r="G4" s="42" t="s">
        <v>130</v>
      </c>
      <c r="H4" s="39" t="s">
        <v>131</v>
      </c>
      <c r="I4" s="43">
        <v>46085.541030092594</v>
      </c>
      <c r="J4" s="43">
        <v>46085.551157407404</v>
      </c>
      <c r="K4" s="44">
        <v>416500</v>
      </c>
      <c r="L4" s="44">
        <v>0</v>
      </c>
      <c r="M4" s="44">
        <v>0</v>
      </c>
      <c r="N4" s="44">
        <v>79135</v>
      </c>
      <c r="O4" s="44">
        <v>0</v>
      </c>
      <c r="P4" s="44">
        <v>495635</v>
      </c>
      <c r="Q4" s="42" t="s">
        <v>94</v>
      </c>
      <c r="R4" s="42" t="s">
        <v>94</v>
      </c>
      <c r="S4" s="45">
        <f t="shared" si="0"/>
        <v>495635</v>
      </c>
    </row>
    <row r="5" spans="2:41" ht="15" thickBot="1" x14ac:dyDescent="0.4">
      <c r="B5" s="30" t="s">
        <v>119</v>
      </c>
      <c r="C5" s="29"/>
      <c r="D5" s="56">
        <f>COUNTA(D2:D4)</f>
        <v>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1"/>
      <c r="Q5" s="29"/>
      <c r="R5" s="29"/>
      <c r="S5" s="55">
        <f>SUM(S2:S4)</f>
        <v>30952594.960000001</v>
      </c>
    </row>
  </sheetData>
  <pageMargins left="0.7" right="0.7" top="0.75" bottom="0.75" header="0.3" footer="0.3"/>
  <pageSetup paperSize="2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8BA4-60B9-4D64-8A71-CE1F24A1C349}">
  <dimension ref="B1:AO8"/>
  <sheetViews>
    <sheetView topLeftCell="D1" zoomScale="80" zoomScaleNormal="80" workbookViewId="0">
      <selection activeCell="S13" sqref="S13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90" customFormat="1" ht="27" customHeight="1" x14ac:dyDescent="0.35">
      <c r="B1" s="88" t="s">
        <v>2</v>
      </c>
      <c r="C1" s="88" t="s">
        <v>3</v>
      </c>
      <c r="D1" s="88" t="s">
        <v>4</v>
      </c>
      <c r="E1" s="88" t="s">
        <v>5</v>
      </c>
      <c r="F1" s="88" t="s">
        <v>22</v>
      </c>
      <c r="G1" s="88" t="s">
        <v>6</v>
      </c>
      <c r="H1" s="88" t="s">
        <v>7</v>
      </c>
      <c r="I1" s="88" t="s">
        <v>8</v>
      </c>
      <c r="J1" s="88" t="s">
        <v>9</v>
      </c>
      <c r="K1" s="88" t="s">
        <v>10</v>
      </c>
      <c r="L1" s="88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88" t="s">
        <v>49</v>
      </c>
      <c r="R1" s="88" t="s">
        <v>50</v>
      </c>
      <c r="S1" s="88" t="s">
        <v>51</v>
      </c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2:41" ht="17.25" customHeight="1" x14ac:dyDescent="0.35">
      <c r="B2" s="39" t="s">
        <v>97</v>
      </c>
      <c r="C2" s="40" t="s">
        <v>98</v>
      </c>
      <c r="D2" s="41" t="s">
        <v>55</v>
      </c>
      <c r="E2" s="39" t="s">
        <v>72</v>
      </c>
      <c r="F2" s="39" t="s">
        <v>73</v>
      </c>
      <c r="G2" s="42" t="s">
        <v>99</v>
      </c>
      <c r="H2" s="39" t="s">
        <v>100</v>
      </c>
      <c r="I2" s="43">
        <v>46072.550266203703</v>
      </c>
      <c r="J2" s="43">
        <v>46072.580358796295</v>
      </c>
      <c r="K2" s="44">
        <v>1206320</v>
      </c>
      <c r="L2" s="44">
        <v>0</v>
      </c>
      <c r="M2" s="44">
        <v>0</v>
      </c>
      <c r="N2" s="44">
        <v>229200.8</v>
      </c>
      <c r="O2" s="44">
        <v>0</v>
      </c>
      <c r="P2" s="44">
        <v>1435521</v>
      </c>
      <c r="Q2" s="42" t="s">
        <v>94</v>
      </c>
      <c r="R2" s="42" t="s">
        <v>94</v>
      </c>
      <c r="S2" s="45">
        <f>+P2</f>
        <v>1435521</v>
      </c>
    </row>
    <row r="3" spans="2:41" ht="17.25" customHeight="1" x14ac:dyDescent="0.35">
      <c r="B3" s="39" t="s">
        <v>101</v>
      </c>
      <c r="C3" s="40" t="s">
        <v>102</v>
      </c>
      <c r="D3" s="41" t="s">
        <v>55</v>
      </c>
      <c r="E3" s="39" t="s">
        <v>72</v>
      </c>
      <c r="F3" s="39" t="s">
        <v>73</v>
      </c>
      <c r="G3" s="42" t="s">
        <v>103</v>
      </c>
      <c r="H3" s="39" t="s">
        <v>104</v>
      </c>
      <c r="I3" s="43">
        <v>46070.45826388889</v>
      </c>
      <c r="J3" s="43">
        <v>46070.464826388888</v>
      </c>
      <c r="K3" s="44">
        <v>1294000</v>
      </c>
      <c r="L3" s="44">
        <v>0</v>
      </c>
      <c r="M3" s="44">
        <v>0</v>
      </c>
      <c r="N3" s="44">
        <v>245860</v>
      </c>
      <c r="O3" s="44">
        <v>0</v>
      </c>
      <c r="P3" s="44">
        <v>1539860</v>
      </c>
      <c r="Q3" s="42" t="s">
        <v>94</v>
      </c>
      <c r="R3" s="42" t="s">
        <v>94</v>
      </c>
      <c r="S3" s="45">
        <f t="shared" ref="S3:S6" si="0">+P3</f>
        <v>1539860</v>
      </c>
    </row>
    <row r="4" spans="2:41" ht="17.25" customHeight="1" x14ac:dyDescent="0.35">
      <c r="B4" s="39" t="s">
        <v>105</v>
      </c>
      <c r="C4" s="40" t="s">
        <v>106</v>
      </c>
      <c r="D4" s="41" t="s">
        <v>53</v>
      </c>
      <c r="E4" s="39" t="s">
        <v>72</v>
      </c>
      <c r="F4" s="39" t="s">
        <v>73</v>
      </c>
      <c r="G4" s="42" t="s">
        <v>107</v>
      </c>
      <c r="H4" s="39" t="s">
        <v>108</v>
      </c>
      <c r="I4" s="43">
        <v>46070.418009259258</v>
      </c>
      <c r="J4" s="43">
        <v>46070.447210648148</v>
      </c>
      <c r="K4" s="44">
        <v>53191</v>
      </c>
      <c r="L4" s="44">
        <v>0</v>
      </c>
      <c r="M4" s="44">
        <v>7814</v>
      </c>
      <c r="N4" s="44">
        <v>0</v>
      </c>
      <c r="O4" s="44">
        <v>0</v>
      </c>
      <c r="P4" s="44">
        <v>61005</v>
      </c>
      <c r="Q4" s="42" t="s">
        <v>94</v>
      </c>
      <c r="R4" s="42" t="s">
        <v>94</v>
      </c>
      <c r="S4" s="45">
        <f t="shared" si="0"/>
        <v>61005</v>
      </c>
    </row>
    <row r="5" spans="2:41" ht="17.25" customHeight="1" x14ac:dyDescent="0.35">
      <c r="B5" s="39" t="s">
        <v>109</v>
      </c>
      <c r="C5" s="40" t="s">
        <v>110</v>
      </c>
      <c r="D5" s="41" t="s">
        <v>53</v>
      </c>
      <c r="E5" s="39" t="s">
        <v>72</v>
      </c>
      <c r="F5" s="39" t="s">
        <v>73</v>
      </c>
      <c r="G5" s="42" t="s">
        <v>107</v>
      </c>
      <c r="H5" s="39" t="s">
        <v>108</v>
      </c>
      <c r="I5" s="43">
        <v>46070.415266203701</v>
      </c>
      <c r="J5" s="43">
        <v>46070.446782407409</v>
      </c>
      <c r="K5" s="44">
        <v>45591</v>
      </c>
      <c r="L5" s="44">
        <v>0</v>
      </c>
      <c r="M5" s="44">
        <v>5956</v>
      </c>
      <c r="N5" s="44">
        <v>0</v>
      </c>
      <c r="O5" s="44">
        <v>0</v>
      </c>
      <c r="P5" s="44">
        <v>51547</v>
      </c>
      <c r="Q5" s="42" t="s">
        <v>94</v>
      </c>
      <c r="R5" s="42" t="s">
        <v>94</v>
      </c>
      <c r="S5" s="45">
        <f t="shared" si="0"/>
        <v>51547</v>
      </c>
    </row>
    <row r="6" spans="2:41" ht="17.25" customHeight="1" x14ac:dyDescent="0.35">
      <c r="B6" s="39" t="s">
        <v>111</v>
      </c>
      <c r="C6" s="40" t="s">
        <v>112</v>
      </c>
      <c r="D6" s="41" t="s">
        <v>55</v>
      </c>
      <c r="E6" s="39" t="s">
        <v>72</v>
      </c>
      <c r="F6" s="39" t="s">
        <v>73</v>
      </c>
      <c r="G6" s="42" t="s">
        <v>113</v>
      </c>
      <c r="H6" s="39" t="s">
        <v>114</v>
      </c>
      <c r="I6" s="43">
        <v>46065.395636574074</v>
      </c>
      <c r="J6" s="43">
        <v>46065.516631944447</v>
      </c>
      <c r="K6" s="44">
        <v>457500</v>
      </c>
      <c r="L6" s="44">
        <v>0</v>
      </c>
      <c r="M6" s="44">
        <v>0</v>
      </c>
      <c r="N6" s="44">
        <v>86925</v>
      </c>
      <c r="O6" s="44">
        <v>0</v>
      </c>
      <c r="P6" s="44">
        <v>544425</v>
      </c>
      <c r="Q6" s="42" t="s">
        <v>94</v>
      </c>
      <c r="R6" s="42" t="s">
        <v>94</v>
      </c>
      <c r="S6" s="45">
        <f t="shared" si="0"/>
        <v>544425</v>
      </c>
    </row>
    <row r="7" spans="2:41" ht="17.25" customHeight="1" x14ac:dyDescent="0.35">
      <c r="B7" s="39" t="s">
        <v>115</v>
      </c>
      <c r="C7" s="40" t="s">
        <v>116</v>
      </c>
      <c r="D7" s="41" t="s">
        <v>27</v>
      </c>
      <c r="E7" s="39" t="s">
        <v>72</v>
      </c>
      <c r="F7" s="39" t="s">
        <v>73</v>
      </c>
      <c r="G7" s="42" t="s">
        <v>117</v>
      </c>
      <c r="H7" s="39" t="s">
        <v>118</v>
      </c>
      <c r="I7" s="43">
        <v>46055.544803240744</v>
      </c>
      <c r="J7" s="43">
        <v>46055.570775462962</v>
      </c>
      <c r="K7" s="44">
        <v>198556050</v>
      </c>
      <c r="L7" s="44">
        <v>0</v>
      </c>
      <c r="M7" s="44">
        <v>0</v>
      </c>
      <c r="N7" s="44">
        <v>37725649.5</v>
      </c>
      <c r="O7" s="44">
        <v>0</v>
      </c>
      <c r="P7" s="44">
        <v>236281700</v>
      </c>
      <c r="Q7" s="42" t="s">
        <v>94</v>
      </c>
      <c r="R7" s="42" t="s">
        <v>94</v>
      </c>
      <c r="S7" s="45">
        <f t="shared" ref="S7" si="1">+P7</f>
        <v>236281700</v>
      </c>
    </row>
    <row r="8" spans="2:41" ht="15" thickBot="1" x14ac:dyDescent="0.4">
      <c r="B8" s="30" t="s">
        <v>96</v>
      </c>
      <c r="C8" s="29"/>
      <c r="D8" s="56">
        <f>COUNTA(D2:D7)</f>
        <v>6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1"/>
      <c r="Q8" s="29"/>
      <c r="R8" s="29"/>
      <c r="S8" s="55">
        <f>SUM(S2:S7)</f>
        <v>239914058</v>
      </c>
    </row>
  </sheetData>
  <pageMargins left="0.7" right="0.7" top="0.75" bottom="0.75" header="0.3" footer="0.3"/>
  <pageSetup paperSize="2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DADC-C304-44EE-B64A-11A916A9C735}">
  <dimension ref="B1:AO7"/>
  <sheetViews>
    <sheetView zoomScale="80" zoomScaleNormal="80" workbookViewId="0">
      <selection activeCell="F5" sqref="F5"/>
    </sheetView>
  </sheetViews>
  <sheetFormatPr baseColWidth="10" defaultColWidth="11.453125" defaultRowHeight="14.5" x14ac:dyDescent="0.35"/>
  <cols>
    <col min="1" max="1" width="2.453125" customWidth="1"/>
    <col min="2" max="2" width="17.54296875" customWidth="1"/>
    <col min="3" max="3" width="23.453125" customWidth="1"/>
    <col min="4" max="4" width="17.1796875" customWidth="1"/>
    <col min="5" max="5" width="12.1796875" customWidth="1"/>
    <col min="6" max="6" width="17.453125" customWidth="1"/>
    <col min="7" max="7" width="18.81640625" customWidth="1"/>
    <col min="8" max="8" width="16.81640625" customWidth="1"/>
    <col min="9" max="9" width="18.26953125" customWidth="1"/>
    <col min="10" max="10" width="20.7265625" customWidth="1"/>
    <col min="11" max="11" width="13" customWidth="1"/>
    <col min="12" max="12" width="13.453125" customWidth="1"/>
    <col min="13" max="13" width="8.54296875" customWidth="1"/>
    <col min="14" max="14" width="13.54296875" customWidth="1"/>
    <col min="15" max="15" width="10" customWidth="1"/>
    <col min="16" max="16" width="13.54296875" bestFit="1" customWidth="1"/>
    <col min="19" max="19" width="14.1796875" customWidth="1"/>
  </cols>
  <sheetData>
    <row r="1" spans="2:41" s="37" customFormat="1" ht="27" customHeight="1" x14ac:dyDescent="0.3">
      <c r="B1" s="46" t="s">
        <v>2</v>
      </c>
      <c r="C1" s="46" t="s">
        <v>3</v>
      </c>
      <c r="D1" s="46" t="s">
        <v>4</v>
      </c>
      <c r="E1" s="46" t="s">
        <v>5</v>
      </c>
      <c r="F1" s="46" t="s">
        <v>22</v>
      </c>
      <c r="G1" s="46" t="s">
        <v>6</v>
      </c>
      <c r="H1" s="46" t="s">
        <v>7</v>
      </c>
      <c r="I1" s="46" t="s">
        <v>8</v>
      </c>
      <c r="J1" s="46" t="s">
        <v>9</v>
      </c>
      <c r="K1" s="46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46" t="s">
        <v>49</v>
      </c>
      <c r="R1" s="46" t="s">
        <v>50</v>
      </c>
      <c r="S1" s="46" t="s">
        <v>51</v>
      </c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2:41" ht="17.25" customHeight="1" x14ac:dyDescent="0.35">
      <c r="B2" s="39" t="s">
        <v>70</v>
      </c>
      <c r="C2" s="40" t="s">
        <v>71</v>
      </c>
      <c r="D2" s="41" t="s">
        <v>55</v>
      </c>
      <c r="E2" s="39" t="s">
        <v>72</v>
      </c>
      <c r="F2" s="39" t="s">
        <v>73</v>
      </c>
      <c r="G2" s="42" t="s">
        <v>74</v>
      </c>
      <c r="H2" s="39" t="s">
        <v>75</v>
      </c>
      <c r="I2" s="43">
        <v>46049.69189814815</v>
      </c>
      <c r="J2" s="43">
        <v>46049.696828703702</v>
      </c>
      <c r="K2" s="44">
        <v>252101</v>
      </c>
      <c r="L2" s="44">
        <v>0</v>
      </c>
      <c r="M2" s="44">
        <v>0</v>
      </c>
      <c r="N2" s="44">
        <v>47899.19</v>
      </c>
      <c r="O2" s="44">
        <v>0</v>
      </c>
      <c r="P2" s="44">
        <v>300000.19</v>
      </c>
      <c r="Q2" s="42" t="s">
        <v>94</v>
      </c>
      <c r="R2" s="42" t="s">
        <v>94</v>
      </c>
      <c r="S2" s="45">
        <f>+P2</f>
        <v>300000.19</v>
      </c>
    </row>
    <row r="3" spans="2:41" ht="17.25" customHeight="1" x14ac:dyDescent="0.35">
      <c r="B3" s="39" t="s">
        <v>76</v>
      </c>
      <c r="C3" s="40" t="s">
        <v>77</v>
      </c>
      <c r="D3" s="41" t="s">
        <v>55</v>
      </c>
      <c r="E3" s="39" t="s">
        <v>72</v>
      </c>
      <c r="F3" s="39" t="s">
        <v>73</v>
      </c>
      <c r="G3" s="42" t="s">
        <v>78</v>
      </c>
      <c r="H3" s="39" t="s">
        <v>79</v>
      </c>
      <c r="I3" s="43">
        <v>46045.481956018521</v>
      </c>
      <c r="J3" s="43">
        <v>46045.487280092595</v>
      </c>
      <c r="K3" s="44">
        <v>1316842</v>
      </c>
      <c r="L3" s="44">
        <v>0</v>
      </c>
      <c r="M3" s="44">
        <v>0</v>
      </c>
      <c r="N3" s="44">
        <v>250199.98</v>
      </c>
      <c r="O3" s="44">
        <v>0</v>
      </c>
      <c r="P3" s="44">
        <v>1567041.98</v>
      </c>
      <c r="Q3" s="42" t="s">
        <v>94</v>
      </c>
      <c r="R3" s="42" t="s">
        <v>94</v>
      </c>
      <c r="S3" s="45">
        <f t="shared" ref="S3:S6" si="0">+P3</f>
        <v>1567041.98</v>
      </c>
    </row>
    <row r="4" spans="2:41" ht="17.25" customHeight="1" x14ac:dyDescent="0.35">
      <c r="B4" s="39" t="s">
        <v>80</v>
      </c>
      <c r="C4" s="40" t="s">
        <v>81</v>
      </c>
      <c r="D4" s="41" t="s">
        <v>55</v>
      </c>
      <c r="E4" s="39" t="s">
        <v>72</v>
      </c>
      <c r="F4" s="39" t="s">
        <v>73</v>
      </c>
      <c r="G4" s="42" t="s">
        <v>82</v>
      </c>
      <c r="H4" s="39" t="s">
        <v>83</v>
      </c>
      <c r="I4" s="43">
        <v>46038.687708333331</v>
      </c>
      <c r="J4" s="43">
        <v>46038.709131944444</v>
      </c>
      <c r="K4" s="44">
        <v>1020000</v>
      </c>
      <c r="L4" s="44">
        <v>0</v>
      </c>
      <c r="M4" s="44">
        <v>0</v>
      </c>
      <c r="N4" s="44">
        <v>193800</v>
      </c>
      <c r="O4" s="44">
        <v>0</v>
      </c>
      <c r="P4" s="44">
        <v>1213800</v>
      </c>
      <c r="Q4" s="42" t="s">
        <v>94</v>
      </c>
      <c r="R4" s="42" t="s">
        <v>94</v>
      </c>
      <c r="S4" s="45">
        <f t="shared" si="0"/>
        <v>1213800</v>
      </c>
    </row>
    <row r="5" spans="2:41" ht="17.25" customHeight="1" x14ac:dyDescent="0.35">
      <c r="B5" s="39" t="s">
        <v>84</v>
      </c>
      <c r="C5" s="40" t="s">
        <v>85</v>
      </c>
      <c r="D5" s="41" t="s">
        <v>55</v>
      </c>
      <c r="E5" s="39" t="s">
        <v>72</v>
      </c>
      <c r="F5" s="39" t="s">
        <v>73</v>
      </c>
      <c r="G5" s="42" t="s">
        <v>86</v>
      </c>
      <c r="H5" s="39" t="s">
        <v>87</v>
      </c>
      <c r="I5" s="43">
        <v>46038.66909722222</v>
      </c>
      <c r="J5" s="43">
        <v>46038.701307870368</v>
      </c>
      <c r="K5" s="44">
        <v>415000</v>
      </c>
      <c r="L5" s="44">
        <v>0</v>
      </c>
      <c r="M5" s="44">
        <v>0</v>
      </c>
      <c r="N5" s="44">
        <v>78850</v>
      </c>
      <c r="O5" s="44">
        <v>0</v>
      </c>
      <c r="P5" s="44">
        <v>493850</v>
      </c>
      <c r="Q5" s="42" t="s">
        <v>94</v>
      </c>
      <c r="R5" s="42" t="s">
        <v>94</v>
      </c>
      <c r="S5" s="45">
        <f t="shared" si="0"/>
        <v>493850</v>
      </c>
    </row>
    <row r="6" spans="2:41" ht="17.25" customHeight="1" x14ac:dyDescent="0.35">
      <c r="B6" s="39" t="s">
        <v>88</v>
      </c>
      <c r="C6" s="40" t="s">
        <v>89</v>
      </c>
      <c r="D6" s="41" t="s">
        <v>55</v>
      </c>
      <c r="E6" s="39" t="s">
        <v>72</v>
      </c>
      <c r="F6" s="39" t="s">
        <v>73</v>
      </c>
      <c r="G6" s="42" t="s">
        <v>90</v>
      </c>
      <c r="H6" s="39" t="s">
        <v>91</v>
      </c>
      <c r="I6" s="43">
        <v>46031.682650462964</v>
      </c>
      <c r="J6" s="43">
        <v>46031.690833333334</v>
      </c>
      <c r="K6" s="44">
        <v>520000</v>
      </c>
      <c r="L6" s="44">
        <v>0</v>
      </c>
      <c r="M6" s="44">
        <v>0</v>
      </c>
      <c r="N6" s="44">
        <v>98800</v>
      </c>
      <c r="O6" s="44">
        <v>0</v>
      </c>
      <c r="P6" s="44">
        <v>618800</v>
      </c>
      <c r="Q6" s="42" t="s">
        <v>94</v>
      </c>
      <c r="R6" s="42" t="s">
        <v>94</v>
      </c>
      <c r="S6" s="45">
        <f t="shared" si="0"/>
        <v>618800</v>
      </c>
    </row>
    <row r="7" spans="2:41" ht="15" thickBot="1" x14ac:dyDescent="0.4">
      <c r="B7" s="30" t="s">
        <v>54</v>
      </c>
      <c r="C7" s="29"/>
      <c r="D7" s="56">
        <f>COUNTA(D2:D6)</f>
        <v>5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1"/>
      <c r="Q7" s="29"/>
      <c r="R7" s="29"/>
      <c r="S7" s="55">
        <f>SUM(S2:S6)</f>
        <v>4193492.17</v>
      </c>
    </row>
  </sheetData>
  <pageMargins left="0.7" right="0.7" top="0.75" bottom="0.75" header="0.3" footer="0.3"/>
  <pageSetup paperSize="2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Reporte</vt:lpstr>
      <vt:lpstr>PPTO HISTORICO</vt:lpstr>
      <vt:lpstr>OC Acumulado</vt:lpstr>
      <vt:lpstr>Compras Septiembre</vt:lpstr>
      <vt:lpstr>Compras Agosto</vt:lpstr>
      <vt:lpstr>Compras Julio</vt:lpstr>
      <vt:lpstr>Compras Junio</vt:lpstr>
      <vt:lpstr>Compras Mayo</vt:lpstr>
      <vt:lpstr>Compras Abril</vt:lpstr>
      <vt:lpstr>Compras Marzo</vt:lpstr>
      <vt:lpstr>Compras Febrero</vt:lpstr>
      <vt:lpstr>Compras 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Díaz Sánchez</dc:creator>
  <cp:lastModifiedBy>Jeanina Cañas Moraga</cp:lastModifiedBy>
  <dcterms:created xsi:type="dcterms:W3CDTF">2020-08-13T19:18:33Z</dcterms:created>
  <dcterms:modified xsi:type="dcterms:W3CDTF">2026-10-08T13:27:53Z</dcterms:modified>
</cp:coreProperties>
</file>